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5.xml" ContentType="application/vnd.openxmlformats-officedocument.drawing+xml"/>
  <Override PartName="/xl/drawings/drawing4.xml" ContentType="application/vnd.openxmlformats-officedocument.drawing+xml"/>
  <Override PartName="/xl/drawings/drawing3.xml" ContentType="application/vnd.openxmlformats-officedocument.drawing+xml"/>
  <Override PartName="/xl/worksheets/sheet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2.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drawings/drawing2.xml" ContentType="application/vnd.openxmlformats-officedocument.drawing+xml"/>
  <Override PartName="/xl/drawings/drawing1.xml" ContentType="application/vnd.openxmlformats-officedocument.drawing+xml"/>
  <Override PartName="/xl/worksheets/sheet11.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comments2.xml" ContentType="application/vnd.openxmlformats-officedocument.spreadsheetml.comments+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1.xml" ContentType="application/vnd.openxmlformats-officedocument.spreadsheetml.externalLink+xml"/>
  <Override PartName="/docProps/custom.xml" ContentType="application/vnd.openxmlformats-officedocument.custom-properties+xml"/>
  <Override PartName="/xl/externalLinks/externalLink2.xml" ContentType="application/vnd.openxmlformats-officedocument.spreadsheetml.externalLink+xml"/>
  <Override PartName="/customXml/itemProps3.xml" ContentType="application/vnd.openxmlformats-officedocument.customXmlProperties+xml"/>
  <Override PartName="/docProps/core.xml" ContentType="application/vnd.openxmlformats-package.core-properties+xml"/>
  <Override PartName="/xl/tables/table1.xml" ContentType="application/vnd.openxmlformats-officedocument.spreadsheetml.table+xml"/>
  <Override PartName="/xl/comments1.xml" ContentType="application/vnd.openxmlformats-officedocument.spreadsheetml.comments+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xl/calcChain.xml" ContentType="application/vnd.openxmlformats-officedocument.spreadsheetml.calcChain+xml"/>
  <Override PartName="/docProps/app.xml" ContentType="application/vnd.openxmlformats-officedocument.extended-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USUARIO\Downloads\"/>
    </mc:Choice>
  </mc:AlternateContent>
  <bookViews>
    <workbookView xWindow="0" yWindow="0" windowWidth="20460" windowHeight="7395" tabRatio="859"/>
  </bookViews>
  <sheets>
    <sheet name="Matriz Riesgos Gestión 2025" sheetId="10" r:id="rId1"/>
    <sheet name="Hoja2" sheetId="17" r:id="rId2"/>
    <sheet name="Matriz riesgos de Corrupción" sheetId="6" state="hidden" r:id="rId3"/>
    <sheet name="Hoja1" sheetId="16" state="hidden" r:id="rId4"/>
    <sheet name="Listados" sheetId="7" state="hidden" r:id="rId5"/>
    <sheet name="Matriz Riesgos Seg. Información" sheetId="12" state="hidden" r:id="rId6"/>
    <sheet name="CONTROLES" sheetId="11" state="hidden" r:id="rId7"/>
    <sheet name="Elementos Riesgo Corrupción" sheetId="9" state="hidden" r:id="rId8"/>
    <sheet name="Seguridad Información" sheetId="13" state="hidden" r:id="rId9"/>
    <sheet name="Probabilidad Seguridad Informac" sheetId="14" state="hidden" r:id="rId10"/>
    <sheet name="Corrupción" sheetId="5" state="hidden" r:id="rId11"/>
    <sheet name="Mapa de calor" sheetId="4" state="hidden" r:id="rId12"/>
    <sheet name="Matriz de calificación (2)" sheetId="15" state="hidden" r:id="rId13"/>
  </sheets>
  <externalReferences>
    <externalReference r:id="rId14"/>
    <externalReference r:id="rId15"/>
    <externalReference r:id="rId16"/>
    <externalReference r:id="rId17"/>
  </externalReferences>
  <definedNames>
    <definedName name="_10._CIFRADO.">'Seguridad Información'!$G$45:$G$46</definedName>
    <definedName name="_11._SEGURIDAD_FÍSICA_Y_AMBIENTAL.">'Seguridad Información'!$H$45:$H$59</definedName>
    <definedName name="_12._SEGURIDAD_EN_LA_OPERATIVA.">'Seguridad Información'!$I$45:$I$58</definedName>
    <definedName name="_13._SEGURIDAD_EN_LAS_TELECOMUNICACIONES.">'Seguridad Información'!$J$45:$J$51</definedName>
    <definedName name="_14._ADQUISICIÓN__DESARROLLO_Y_MANTENIMIENTO_DE_LOS_SISTEMAS_DE_INFORMACIÓN.">'Seguridad Información'!$K$45:$K$57</definedName>
    <definedName name="_15._RELACIONES_CON_SUMINISTRADORES.">'Seguridad Información'!$L$45:$L$49</definedName>
    <definedName name="_16._GESTIÓN_DE_INCIDENTES_EN_LA_SEGURIDAD_DE_LA_INFORMACIÓN.">'Seguridad Información'!$M$45:$M$51</definedName>
    <definedName name="_17._ASPECTOS_DE_SEGURIDAD_DE_LA_INFORMACION_EN_LA_GESTIÓN_DE_LA_CONTINUIDAD_DEL_NEGOCIO.">'Seguridad Información'!$N$45:$N$48</definedName>
    <definedName name="_18._CUMPLIMIENTO.">'Seguridad Información'!$O$45:$O$52</definedName>
    <definedName name="_5._POLÍTICAS_DE_SEGURIDAD.">'Seguridad Información'!$B$45:$B$46</definedName>
    <definedName name="_6._ASPECTOS_ORGANIZATIVOS_DE_LA_SEGURIDAD_DE_LA_INFORMAC.">'Seguridad Información'!$C$45:$C$51</definedName>
    <definedName name="_7._SEGURIDAD_LIGADA_A_LOS_RECURSOS_HUMANOS.">'Seguridad Información'!$D$45:$D$50</definedName>
    <definedName name="_8._GESTIÓN_DE_ACTIVOS.">'Seguridad Información'!$E$45:$E$53</definedName>
    <definedName name="_9._CONTROL_DE_ACCESOS.">'Seguridad Información'!$F$45:$F$58</definedName>
    <definedName name="_xlnm._FilterDatabase" localSheetId="2" hidden="1">'Matriz riesgos de Corrupción'!$A$1:$BW$28</definedName>
    <definedName name="_xlnm._FilterDatabase" localSheetId="0" hidden="1">'Matriz Riesgos Gestión 2025'!$A$6:$AU$235</definedName>
    <definedName name="_xlnm._FilterDatabase" localSheetId="5" hidden="1">'Matriz Riesgos Seg. Información'!$B$6:$BI$6</definedName>
    <definedName name="_xlnm.Print_Area" localSheetId="2">'Matriz riesgos de Corrupción'!$A$1:$BK$9</definedName>
    <definedName name="_xlnm.Print_Area" localSheetId="0">'Matriz Riesgos Gestión 2025'!$A$1:$AU$13</definedName>
    <definedName name="_xlnm.Print_Area" localSheetId="5">'Matriz Riesgos Seg. Información'!$A$1:$BI$13</definedName>
    <definedName name="CD">'Seguridad Información'!$H$3</definedName>
    <definedName name="CI">'Seguridad Información'!$I$3:$I$5</definedName>
    <definedName name="CID">'Seguridad Información'!$J$3:$J$10</definedName>
    <definedName name="Confidencialidad">'Seguridad Información'!$G$3:$G$9</definedName>
    <definedName name="CONFIDENCIALIDAD.">'Seguridad Información'!$B$20:$B$32</definedName>
    <definedName name="CONFIDENCIALIDAD_">'Seguridad Información'!$B$14:$B$16</definedName>
    <definedName name="Confidencialidad_Disponibilidad">'Seguridad Información'!$H$3</definedName>
    <definedName name="CONFIDENCIALIDAD_DISPONIBILIDAD.">'Seguridad Información'!$F$20</definedName>
    <definedName name="CONFIDENCIALIDAD_DISPONIBILIDAD_">'Seguridad Información'!$F$14</definedName>
    <definedName name="Confidencialidad_integridad">'Seguridad Información'!$I$3:$I$5</definedName>
    <definedName name="CONFIDENCIALIDAD_INTEGRIDAD.">'Seguridad Información'!$E$20:$E$32</definedName>
    <definedName name="CONFIDENCIALIDAD_INTEGRIDAD_">'Seguridad Información'!$E$14</definedName>
    <definedName name="Confidencialidad_Integridad_Disponibilidad">'Seguridad Información'!$J$3:$J$10</definedName>
    <definedName name="CONFIDENCIALIDAD_INTEGRIDAD_DISPONIBILIDAD.">'Seguridad Información'!$H$20:$H$41</definedName>
    <definedName name="CONFIDENCIALIDAD_INTEGRIDAD_DISPONIBILIDAD_">'Seguridad Información'!$H$14:$H$17</definedName>
    <definedName name="Control_Existente">[1]Hoja4!$H$3:$H$4</definedName>
    <definedName name="Disponibilidad">'Seguridad Información'!$K$3:$K$18</definedName>
    <definedName name="DISPONIBILIDAD.">'Seguridad Información'!$D$20:$D$33</definedName>
    <definedName name="DISPONIBILIDAD_">'Seguridad Información'!$D$14:$D$16</definedName>
    <definedName name="Impacto">[1]Hoja4!$F$3:$F$7</definedName>
    <definedName name="Integridad">'Seguridad Información'!$M$3:$M$6</definedName>
    <definedName name="INTEGRIDAD.">'Seguridad Información'!$C$20:$C$24</definedName>
    <definedName name="INTEGRIDAD_">'Seguridad Información'!$C$14</definedName>
    <definedName name="Integridad_Disponibilidad">'Seguridad Información'!$L$3:$L$8</definedName>
    <definedName name="INTEGRIDAD_DISPONIBILIDAD.">'Seguridad Información'!$G$20:$G$25</definedName>
    <definedName name="INTEGRIDAD_DISPONIBILIDAD_">'Seguridad Información'!$G$14</definedName>
    <definedName name="Probabilidad">[1]Hoja4!$E$3:$E$7</definedName>
    <definedName name="TIPO">'[2]Base de Datos'!$A$4:$A$8</definedName>
    <definedName name="Tipo_de_Riesgo">[1]Hoja4!$D$3:$D$9</definedName>
    <definedName name="_xlnm.Print_Titles" localSheetId="2">'Matriz riesgos de Corrupción'!$1:$6</definedName>
    <definedName name="_xlnm.Print_Titles" localSheetId="0">'Matriz Riesgos Gestión 2025'!$1:$6</definedName>
    <definedName name="_xlnm.Print_Titles" localSheetId="5">'Matriz Riesgos Seg. Información'!$1:$6</definedName>
    <definedName name="Z_795C8354_6623_430F_B16F_866AD45BC174_.wvu.FilterData" localSheetId="2" hidden="1">'Matriz riesgos de Corrupción'!$B$6:$BK$6</definedName>
    <definedName name="Z_795C8354_6623_430F_B16F_866AD45BC174_.wvu.FilterData" localSheetId="0" hidden="1">'Matriz Riesgos Gestión 2025'!$B$6:$AU$6</definedName>
    <definedName name="Z_795C8354_6623_430F_B16F_866AD45BC174_.wvu.FilterData" localSheetId="5" hidden="1">'Matriz Riesgos Seg. Información'!$B$6:$BI$6</definedName>
    <definedName name="Z_795C8354_6623_430F_B16F_866AD45BC174_.wvu.PrintArea" localSheetId="2" hidden="1">'Matriz riesgos de Corrupción'!$A$1:$BK$9</definedName>
    <definedName name="Z_795C8354_6623_430F_B16F_866AD45BC174_.wvu.PrintArea" localSheetId="0" hidden="1">'Matriz Riesgos Gestión 2025'!$A$1:$AU$13</definedName>
    <definedName name="Z_795C8354_6623_430F_B16F_866AD45BC174_.wvu.PrintArea" localSheetId="5" hidden="1">'Matriz Riesgos Seg. Información'!$A$1:$BI$13</definedName>
    <definedName name="Z_795C8354_6623_430F_B16F_866AD45BC174_.wvu.PrintTitles" localSheetId="2" hidden="1">'Matriz riesgos de Corrupción'!$1:$6</definedName>
    <definedName name="Z_795C8354_6623_430F_B16F_866AD45BC174_.wvu.PrintTitles" localSheetId="0" hidden="1">'Matriz Riesgos Gestión 2025'!$1:$6</definedName>
    <definedName name="Z_795C8354_6623_430F_B16F_866AD45BC174_.wvu.PrintTitles" localSheetId="5" hidden="1">'Matriz Riesgos Seg. Información'!$1:$6</definedName>
    <definedName name="Z_82BC0C9B_70E2_44EC_8408_64CC9B36E280_.wvu.FilterData" localSheetId="2" hidden="1">'Matriz riesgos de Corrupción'!$B$6:$BK$6</definedName>
    <definedName name="Z_82BC0C9B_70E2_44EC_8408_64CC9B36E280_.wvu.FilterData" localSheetId="0" hidden="1">'Matriz Riesgos Gestión 2025'!$B$6:$AU$6</definedName>
    <definedName name="Z_82BC0C9B_70E2_44EC_8408_64CC9B36E280_.wvu.FilterData" localSheetId="5" hidden="1">'Matriz Riesgos Seg. Información'!$B$6:$BI$6</definedName>
    <definedName name="Z_82BC0C9B_70E2_44EC_8408_64CC9B36E280_.wvu.PrintArea" localSheetId="2" hidden="1">'Matriz riesgos de Corrupción'!$A$1:$BK$9</definedName>
    <definedName name="Z_82BC0C9B_70E2_44EC_8408_64CC9B36E280_.wvu.PrintArea" localSheetId="0" hidden="1">'Matriz Riesgos Gestión 2025'!$A$1:$AU$13</definedName>
    <definedName name="Z_82BC0C9B_70E2_44EC_8408_64CC9B36E280_.wvu.PrintArea" localSheetId="5" hidden="1">'Matriz Riesgos Seg. Información'!$A$1:$BI$13</definedName>
    <definedName name="Z_82BC0C9B_70E2_44EC_8408_64CC9B36E280_.wvu.PrintTitles" localSheetId="2" hidden="1">'Matriz riesgos de Corrupción'!$1:$6</definedName>
    <definedName name="Z_82BC0C9B_70E2_44EC_8408_64CC9B36E280_.wvu.PrintTitles" localSheetId="0" hidden="1">'Matriz Riesgos Gestión 2025'!$1:$6</definedName>
    <definedName name="Z_82BC0C9B_70E2_44EC_8408_64CC9B36E280_.wvu.PrintTitles" localSheetId="5" hidden="1">'Matriz Riesgos Seg. Información'!$1:$6</definedName>
    <definedName name="Z_F8FDF2EC_A9AD_41AC_8138_AA3657B53E6D_.wvu.FilterData" localSheetId="2" hidden="1">'Matriz riesgos de Corrupción'!$B$6:$BK$6</definedName>
    <definedName name="Z_F8FDF2EC_A9AD_41AC_8138_AA3657B53E6D_.wvu.FilterData" localSheetId="0" hidden="1">'Matriz Riesgos Gestión 2025'!$B$6:$AU$6</definedName>
    <definedName name="Z_F8FDF2EC_A9AD_41AC_8138_AA3657B53E6D_.wvu.FilterData" localSheetId="5" hidden="1">'Matriz Riesgos Seg. Información'!$B$6:$BI$6</definedName>
    <definedName name="Z_F8FDF2EC_A9AD_41AC_8138_AA3657B53E6D_.wvu.PrintArea" localSheetId="2" hidden="1">'Matriz riesgos de Corrupción'!$A$1:$BK$9</definedName>
    <definedName name="Z_F8FDF2EC_A9AD_41AC_8138_AA3657B53E6D_.wvu.PrintArea" localSheetId="0" hidden="1">'Matriz Riesgos Gestión 2025'!$A$1:$AU$13</definedName>
    <definedName name="Z_F8FDF2EC_A9AD_41AC_8138_AA3657B53E6D_.wvu.PrintArea" localSheetId="5" hidden="1">'Matriz Riesgos Seg. Información'!$A$1:$BI$13</definedName>
    <definedName name="Z_F8FDF2EC_A9AD_41AC_8138_AA3657B53E6D_.wvu.PrintTitles" localSheetId="2" hidden="1">'Matriz riesgos de Corrupción'!$1:$6</definedName>
    <definedName name="Z_F8FDF2EC_A9AD_41AC_8138_AA3657B53E6D_.wvu.PrintTitles" localSheetId="0" hidden="1">'Matriz Riesgos Gestión 2025'!$1:$6</definedName>
    <definedName name="Z_F8FDF2EC_A9AD_41AC_8138_AA3657B53E6D_.wvu.PrintTitles" localSheetId="5" hidden="1">'Matriz Riesgos Seg. Información'!$1:$6</definedName>
  </definedNames>
  <calcPr calcId="191029"/>
  <customWorkbookViews>
    <customWorkbookView name="DIEGO ORLANDO BUSTOS FORERO - Vista personalizada" guid="{F8FDF2EC-A9AD-41AC-8138-AA3657B53E6D}" mergeInterval="0" personalView="1" maximized="1" xWindow="-8" yWindow="-8" windowWidth="1936" windowHeight="1056" tabRatio="859" activeSheetId="1" showComments="commIndAndComment"/>
    <customWorkbookView name="MAURICIO ORDOÑEZ GUTIERREZ - Vista personalizada" guid="{795C8354-6623-430F-B16F-866AD45BC174}" mergeInterval="0" personalView="1" maximized="1" xWindow="-8" yWindow="-8" windowWidth="1616" windowHeight="876" tabRatio="859" activeSheetId="1"/>
    <customWorkbookView name="LUCY MARGARITA OSORIO MASTRODOMÉNICO - Vista personalizada" guid="{82BC0C9B-70E2-44EC-8408-64CC9B36E280}" mergeInterval="0" personalView="1" maximized="1" xWindow="-8" yWindow="-8" windowWidth="1616" windowHeight="876" tabRatio="859"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27" i="10" l="1"/>
  <c r="N127" i="10"/>
  <c r="AI187" i="10" l="1"/>
  <c r="AE187" i="10"/>
  <c r="AC187" i="10"/>
  <c r="AA187" i="10"/>
  <c r="Y187" i="10"/>
  <c r="W187" i="10"/>
  <c r="U187" i="10"/>
  <c r="S187" i="10"/>
  <c r="S188" i="10"/>
  <c r="AF187" i="10" l="1"/>
  <c r="AG187" i="10" s="1"/>
  <c r="N95" i="10"/>
  <c r="M95" i="10"/>
  <c r="K95" i="10"/>
  <c r="N91" i="10"/>
  <c r="M91" i="10"/>
  <c r="K91" i="10"/>
  <c r="N87" i="10"/>
  <c r="M87" i="10"/>
  <c r="K87" i="10"/>
  <c r="BA33" i="6" l="1"/>
  <c r="BA34" i="6"/>
  <c r="BA35" i="6"/>
  <c r="BA36" i="6"/>
  <c r="BA37" i="6"/>
  <c r="BA38" i="6"/>
  <c r="BA39" i="6"/>
  <c r="BA40" i="6"/>
  <c r="BA41" i="6"/>
  <c r="BA42" i="6"/>
  <c r="BA43" i="6"/>
  <c r="BA44" i="6"/>
  <c r="BA45" i="6"/>
  <c r="BA46" i="6"/>
  <c r="BA47" i="6"/>
  <c r="BA48" i="6"/>
  <c r="BA49" i="6"/>
  <c r="BA50" i="6"/>
  <c r="BA51" i="6"/>
  <c r="BA52" i="6"/>
  <c r="BA53" i="6"/>
  <c r="BA54" i="6"/>
  <c r="BA55" i="6"/>
  <c r="BA56" i="6"/>
  <c r="BA57" i="6"/>
  <c r="BA58" i="6"/>
  <c r="BA59" i="6"/>
  <c r="BA60" i="6"/>
  <c r="BA61" i="6"/>
  <c r="BA62" i="6"/>
  <c r="BA63" i="6"/>
  <c r="BA64" i="6"/>
  <c r="BA65" i="6"/>
  <c r="BA66" i="6"/>
  <c r="BA67" i="6"/>
  <c r="BA68" i="6"/>
  <c r="BA69" i="6"/>
  <c r="BA70" i="6"/>
  <c r="BA71" i="6"/>
  <c r="BA72" i="6"/>
  <c r="BA73" i="6"/>
  <c r="BA74" i="6"/>
  <c r="BA75" i="6"/>
  <c r="BA76" i="6"/>
  <c r="BA77" i="6"/>
  <c r="BA78" i="6"/>
  <c r="BA79" i="6"/>
  <c r="BA80" i="6"/>
  <c r="BA81" i="6"/>
  <c r="BA82" i="6"/>
  <c r="BA83" i="6"/>
  <c r="BA84" i="6"/>
  <c r="BA85" i="6"/>
  <c r="BA86" i="6"/>
  <c r="BA87" i="6"/>
  <c r="BA88" i="6"/>
  <c r="BA89" i="6"/>
  <c r="BA90" i="6"/>
  <c r="BA91" i="6"/>
  <c r="BA92" i="6"/>
  <c r="BA93" i="6"/>
  <c r="BA94" i="6"/>
  <c r="BA95" i="6"/>
  <c r="BA96" i="6"/>
  <c r="BA97" i="6"/>
  <c r="BA98" i="6"/>
  <c r="BA99" i="6"/>
  <c r="BA100" i="6"/>
  <c r="BA101" i="6"/>
  <c r="BA102" i="6"/>
  <c r="BA103" i="6"/>
  <c r="BA104" i="6"/>
  <c r="BA105" i="6"/>
  <c r="BA106" i="6"/>
  <c r="BA107" i="6"/>
  <c r="BA108" i="6"/>
  <c r="BA109" i="6"/>
  <c r="BA110" i="6"/>
  <c r="BA111" i="6"/>
  <c r="BA112" i="6"/>
  <c r="BA113" i="6"/>
  <c r="BA114" i="6"/>
  <c r="BA115" i="6"/>
  <c r="BA116" i="6"/>
  <c r="BA117" i="6"/>
  <c r="BA118" i="6"/>
  <c r="BA119" i="6"/>
  <c r="BA120" i="6"/>
  <c r="BA121" i="6"/>
  <c r="BA122" i="6"/>
  <c r="BA123" i="6"/>
  <c r="BA124" i="6"/>
  <c r="BA125" i="6"/>
  <c r="BA126" i="6"/>
  <c r="BA127" i="6"/>
  <c r="BA29" i="6" l="1"/>
  <c r="BA30" i="6"/>
  <c r="BA31" i="6"/>
  <c r="BA32" i="6"/>
  <c r="BA25" i="6" l="1"/>
  <c r="BA26" i="6"/>
  <c r="BA27" i="6"/>
  <c r="BA21" i="6" l="1"/>
  <c r="BA22" i="6"/>
  <c r="BA23" i="6"/>
  <c r="BA17" i="6" l="1"/>
  <c r="BA18" i="6"/>
  <c r="AN15" i="10" l="1"/>
  <c r="AP15" i="10" s="1"/>
  <c r="AO15" i="10"/>
  <c r="AQ15" i="10" s="1"/>
  <c r="AN10" i="10"/>
  <c r="AP10" i="10" s="1"/>
  <c r="AO10" i="10"/>
  <c r="AQ10" i="10" s="1"/>
  <c r="BA12" i="6" l="1"/>
  <c r="BA13" i="6"/>
  <c r="BA14" i="6"/>
  <c r="BA15" i="6"/>
  <c r="AM14" i="6"/>
  <c r="AW14" i="6"/>
  <c r="AU14" i="6"/>
  <c r="AS14" i="6"/>
  <c r="AQ14" i="6"/>
  <c r="AO14" i="6"/>
  <c r="AK14" i="6"/>
  <c r="AO19" i="10"/>
  <c r="AO22" i="10"/>
  <c r="AI19" i="10"/>
  <c r="AI20" i="10"/>
  <c r="AI21" i="10"/>
  <c r="AE19" i="10"/>
  <c r="AE20" i="10"/>
  <c r="AE21" i="10"/>
  <c r="AC19" i="10"/>
  <c r="AC20" i="10"/>
  <c r="AC21" i="10"/>
  <c r="Y19" i="10"/>
  <c r="Y20" i="10"/>
  <c r="Y21" i="10"/>
  <c r="AA19" i="10"/>
  <c r="AA20" i="10"/>
  <c r="AA21" i="10"/>
  <c r="W19" i="10"/>
  <c r="W20" i="10"/>
  <c r="W21" i="10"/>
  <c r="U19" i="10"/>
  <c r="U20" i="10"/>
  <c r="U21" i="10"/>
  <c r="S19" i="10"/>
  <c r="S20" i="10"/>
  <c r="S21" i="10"/>
  <c r="BA8" i="6"/>
  <c r="AI14" i="10"/>
  <c r="S14" i="10"/>
  <c r="U14" i="10"/>
  <c r="W14" i="10"/>
  <c r="Y14" i="10"/>
  <c r="AA14" i="10"/>
  <c r="AC14" i="10"/>
  <c r="AE14" i="10"/>
  <c r="AX14" i="6" l="1"/>
  <c r="AY14" i="6" s="1"/>
  <c r="AF19" i="10"/>
  <c r="AG19" i="10" s="1"/>
  <c r="AF20" i="10"/>
  <c r="AG20" i="10" s="1"/>
  <c r="AF21" i="10"/>
  <c r="AG21" i="10" s="1"/>
  <c r="AF14" i="10"/>
  <c r="AW127" i="6"/>
  <c r="AU127" i="6"/>
  <c r="AS127" i="6"/>
  <c r="AQ127" i="6"/>
  <c r="AO127" i="6"/>
  <c r="AM127" i="6"/>
  <c r="AK127" i="6"/>
  <c r="AW126" i="6"/>
  <c r="AU126" i="6"/>
  <c r="AS126" i="6"/>
  <c r="AQ126" i="6"/>
  <c r="AO126" i="6"/>
  <c r="AM126" i="6"/>
  <c r="AK126" i="6"/>
  <c r="AW125" i="6"/>
  <c r="AU125" i="6"/>
  <c r="AS125" i="6"/>
  <c r="AQ125" i="6"/>
  <c r="AO125" i="6"/>
  <c r="AM125" i="6"/>
  <c r="AK125" i="6"/>
  <c r="AW124" i="6"/>
  <c r="AU124" i="6"/>
  <c r="AS124" i="6"/>
  <c r="AQ124" i="6"/>
  <c r="AO124" i="6"/>
  <c r="AM124" i="6"/>
  <c r="AK124" i="6"/>
  <c r="AC124" i="6"/>
  <c r="AA124" i="6"/>
  <c r="AD124" i="6" s="1"/>
  <c r="AF124" i="6" s="1"/>
  <c r="AW123" i="6"/>
  <c r="AU123" i="6"/>
  <c r="AS123" i="6"/>
  <c r="AQ123" i="6"/>
  <c r="AO123" i="6"/>
  <c r="AM123" i="6"/>
  <c r="AK123" i="6"/>
  <c r="AW122" i="6"/>
  <c r="AU122" i="6"/>
  <c r="AS122" i="6"/>
  <c r="AQ122" i="6"/>
  <c r="AO122" i="6"/>
  <c r="AM122" i="6"/>
  <c r="AK122" i="6"/>
  <c r="AW121" i="6"/>
  <c r="AU121" i="6"/>
  <c r="AS121" i="6"/>
  <c r="AQ121" i="6"/>
  <c r="AO121" i="6"/>
  <c r="AM121" i="6"/>
  <c r="AK121" i="6"/>
  <c r="AW120" i="6"/>
  <c r="AU120" i="6"/>
  <c r="AS120" i="6"/>
  <c r="AQ120" i="6"/>
  <c r="AO120" i="6"/>
  <c r="AM120" i="6"/>
  <c r="AK120" i="6"/>
  <c r="AC120" i="6"/>
  <c r="AA120" i="6"/>
  <c r="AD120" i="6" s="1"/>
  <c r="AF120" i="6" s="1"/>
  <c r="AW119" i="6"/>
  <c r="AU119" i="6"/>
  <c r="AS119" i="6"/>
  <c r="AQ119" i="6"/>
  <c r="AO119" i="6"/>
  <c r="AM119" i="6"/>
  <c r="AK119" i="6"/>
  <c r="AW118" i="6"/>
  <c r="AU118" i="6"/>
  <c r="AS118" i="6"/>
  <c r="AQ118" i="6"/>
  <c r="AO118" i="6"/>
  <c r="AM118" i="6"/>
  <c r="AK118" i="6"/>
  <c r="AW117" i="6"/>
  <c r="AU117" i="6"/>
  <c r="AS117" i="6"/>
  <c r="AQ117" i="6"/>
  <c r="AO117" i="6"/>
  <c r="AM117" i="6"/>
  <c r="AK117" i="6"/>
  <c r="AW116" i="6"/>
  <c r="AU116" i="6"/>
  <c r="AS116" i="6"/>
  <c r="AQ116" i="6"/>
  <c r="AO116" i="6"/>
  <c r="AM116" i="6"/>
  <c r="AK116" i="6"/>
  <c r="AC116" i="6"/>
  <c r="AA116" i="6"/>
  <c r="AD116" i="6" s="1"/>
  <c r="AF116" i="6" s="1"/>
  <c r="AW115" i="6"/>
  <c r="AU115" i="6"/>
  <c r="AS115" i="6"/>
  <c r="AQ115" i="6"/>
  <c r="AO115" i="6"/>
  <c r="AM115" i="6"/>
  <c r="AK115" i="6"/>
  <c r="AW114" i="6"/>
  <c r="AU114" i="6"/>
  <c r="AS114" i="6"/>
  <c r="AQ114" i="6"/>
  <c r="AO114" i="6"/>
  <c r="AM114" i="6"/>
  <c r="AK114" i="6"/>
  <c r="AW113" i="6"/>
  <c r="AU113" i="6"/>
  <c r="AS113" i="6"/>
  <c r="AQ113" i="6"/>
  <c r="AO113" i="6"/>
  <c r="AM113" i="6"/>
  <c r="AK113" i="6"/>
  <c r="AW112" i="6"/>
  <c r="AU112" i="6"/>
  <c r="AS112" i="6"/>
  <c r="AQ112" i="6"/>
  <c r="AO112" i="6"/>
  <c r="AM112" i="6"/>
  <c r="AK112" i="6"/>
  <c r="AC112" i="6"/>
  <c r="AA112" i="6"/>
  <c r="AD112" i="6" s="1"/>
  <c r="AF112" i="6" s="1"/>
  <c r="AW111" i="6"/>
  <c r="AU111" i="6"/>
  <c r="AS111" i="6"/>
  <c r="AQ111" i="6"/>
  <c r="AO111" i="6"/>
  <c r="AM111" i="6"/>
  <c r="AK111" i="6"/>
  <c r="AW110" i="6"/>
  <c r="AU110" i="6"/>
  <c r="AS110" i="6"/>
  <c r="AQ110" i="6"/>
  <c r="AO110" i="6"/>
  <c r="AM110" i="6"/>
  <c r="AK110" i="6"/>
  <c r="AW109" i="6"/>
  <c r="AU109" i="6"/>
  <c r="AS109" i="6"/>
  <c r="AQ109" i="6"/>
  <c r="AO109" i="6"/>
  <c r="AM109" i="6"/>
  <c r="AK109" i="6"/>
  <c r="AW108" i="6"/>
  <c r="AU108" i="6"/>
  <c r="AS108" i="6"/>
  <c r="AQ108" i="6"/>
  <c r="AO108" i="6"/>
  <c r="AM108" i="6"/>
  <c r="AK108" i="6"/>
  <c r="AC108" i="6"/>
  <c r="AA108" i="6"/>
  <c r="AD108" i="6" s="1"/>
  <c r="AF108" i="6" s="1"/>
  <c r="AW107" i="6"/>
  <c r="AU107" i="6"/>
  <c r="AS107" i="6"/>
  <c r="AQ107" i="6"/>
  <c r="AO107" i="6"/>
  <c r="AM107" i="6"/>
  <c r="AK107" i="6"/>
  <c r="AW106" i="6"/>
  <c r="AU106" i="6"/>
  <c r="AS106" i="6"/>
  <c r="AQ106" i="6"/>
  <c r="AO106" i="6"/>
  <c r="AM106" i="6"/>
  <c r="AK106" i="6"/>
  <c r="AW105" i="6"/>
  <c r="AU105" i="6"/>
  <c r="AS105" i="6"/>
  <c r="AQ105" i="6"/>
  <c r="AO105" i="6"/>
  <c r="AM105" i="6"/>
  <c r="AK105" i="6"/>
  <c r="AW104" i="6"/>
  <c r="AU104" i="6"/>
  <c r="AS104" i="6"/>
  <c r="AQ104" i="6"/>
  <c r="AO104" i="6"/>
  <c r="AM104" i="6"/>
  <c r="AK104" i="6"/>
  <c r="AC104" i="6"/>
  <c r="AA104" i="6"/>
  <c r="AD104" i="6" s="1"/>
  <c r="AW103" i="6"/>
  <c r="AU103" i="6"/>
  <c r="AS103" i="6"/>
  <c r="AQ103" i="6"/>
  <c r="AO103" i="6"/>
  <c r="AM103" i="6"/>
  <c r="AK103" i="6"/>
  <c r="AW102" i="6"/>
  <c r="AU102" i="6"/>
  <c r="AS102" i="6"/>
  <c r="AQ102" i="6"/>
  <c r="AO102" i="6"/>
  <c r="AM102" i="6"/>
  <c r="AK102" i="6"/>
  <c r="AW101" i="6"/>
  <c r="AU101" i="6"/>
  <c r="AS101" i="6"/>
  <c r="AQ101" i="6"/>
  <c r="AO101" i="6"/>
  <c r="AM101" i="6"/>
  <c r="AK101" i="6"/>
  <c r="AW100" i="6"/>
  <c r="AU100" i="6"/>
  <c r="AS100" i="6"/>
  <c r="AQ100" i="6"/>
  <c r="AO100" i="6"/>
  <c r="AM100" i="6"/>
  <c r="AK100" i="6"/>
  <c r="AC100" i="6"/>
  <c r="AA100" i="6"/>
  <c r="AD100" i="6" s="1"/>
  <c r="AF100" i="6" s="1"/>
  <c r="AW99" i="6"/>
  <c r="AU99" i="6"/>
  <c r="AS99" i="6"/>
  <c r="AQ99" i="6"/>
  <c r="AO99" i="6"/>
  <c r="AM99" i="6"/>
  <c r="AK99" i="6"/>
  <c r="AW98" i="6"/>
  <c r="AU98" i="6"/>
  <c r="AS98" i="6"/>
  <c r="AQ98" i="6"/>
  <c r="AO98" i="6"/>
  <c r="AM98" i="6"/>
  <c r="AK98" i="6"/>
  <c r="AW97" i="6"/>
  <c r="AU97" i="6"/>
  <c r="AS97" i="6"/>
  <c r="AQ97" i="6"/>
  <c r="AO97" i="6"/>
  <c r="AM97" i="6"/>
  <c r="AK97" i="6"/>
  <c r="AW96" i="6"/>
  <c r="AU96" i="6"/>
  <c r="AS96" i="6"/>
  <c r="AQ96" i="6"/>
  <c r="AO96" i="6"/>
  <c r="AM96" i="6"/>
  <c r="AK96" i="6"/>
  <c r="AC96" i="6"/>
  <c r="AA96" i="6"/>
  <c r="AD96" i="6" s="1"/>
  <c r="AF96" i="6" s="1"/>
  <c r="AW95" i="6"/>
  <c r="AU95" i="6"/>
  <c r="AS95" i="6"/>
  <c r="AQ95" i="6"/>
  <c r="AO95" i="6"/>
  <c r="AM95" i="6"/>
  <c r="AK95" i="6"/>
  <c r="AW94" i="6"/>
  <c r="AU94" i="6"/>
  <c r="AS94" i="6"/>
  <c r="AQ94" i="6"/>
  <c r="AO94" i="6"/>
  <c r="AM94" i="6"/>
  <c r="AK94" i="6"/>
  <c r="AW93" i="6"/>
  <c r="AU93" i="6"/>
  <c r="AS93" i="6"/>
  <c r="AQ93" i="6"/>
  <c r="AO93" i="6"/>
  <c r="AM93" i="6"/>
  <c r="AK93" i="6"/>
  <c r="AW92" i="6"/>
  <c r="AU92" i="6"/>
  <c r="AS92" i="6"/>
  <c r="AQ92" i="6"/>
  <c r="AO92" i="6"/>
  <c r="AM92" i="6"/>
  <c r="AK92" i="6"/>
  <c r="AC92" i="6"/>
  <c r="AA92" i="6"/>
  <c r="AD92" i="6" s="1"/>
  <c r="AF92" i="6" s="1"/>
  <c r="AW91" i="6"/>
  <c r="AU91" i="6"/>
  <c r="AS91" i="6"/>
  <c r="AQ91" i="6"/>
  <c r="AO91" i="6"/>
  <c r="AM91" i="6"/>
  <c r="AK91" i="6"/>
  <c r="AW90" i="6"/>
  <c r="AU90" i="6"/>
  <c r="AS90" i="6"/>
  <c r="AQ90" i="6"/>
  <c r="AO90" i="6"/>
  <c r="AM90" i="6"/>
  <c r="AK90" i="6"/>
  <c r="AW89" i="6"/>
  <c r="AU89" i="6"/>
  <c r="AS89" i="6"/>
  <c r="AQ89" i="6"/>
  <c r="AO89" i="6"/>
  <c r="AM89" i="6"/>
  <c r="AK89" i="6"/>
  <c r="AW88" i="6"/>
  <c r="AU88" i="6"/>
  <c r="AS88" i="6"/>
  <c r="AQ88" i="6"/>
  <c r="AO88" i="6"/>
  <c r="AM88" i="6"/>
  <c r="AK88" i="6"/>
  <c r="AC88" i="6"/>
  <c r="AA88" i="6"/>
  <c r="AD88" i="6" s="1"/>
  <c r="AF88" i="6" s="1"/>
  <c r="AW87" i="6"/>
  <c r="AU87" i="6"/>
  <c r="AS87" i="6"/>
  <c r="AQ87" i="6"/>
  <c r="AO87" i="6"/>
  <c r="AM87" i="6"/>
  <c r="AK87" i="6"/>
  <c r="AW86" i="6"/>
  <c r="AU86" i="6"/>
  <c r="AS86" i="6"/>
  <c r="AQ86" i="6"/>
  <c r="AO86" i="6"/>
  <c r="AM86" i="6"/>
  <c r="AK86" i="6"/>
  <c r="AW85" i="6"/>
  <c r="AU85" i="6"/>
  <c r="AS85" i="6"/>
  <c r="AQ85" i="6"/>
  <c r="AO85" i="6"/>
  <c r="AM85" i="6"/>
  <c r="AK85" i="6"/>
  <c r="AW84" i="6"/>
  <c r="AU84" i="6"/>
  <c r="AS84" i="6"/>
  <c r="AQ84" i="6"/>
  <c r="AO84" i="6"/>
  <c r="AM84" i="6"/>
  <c r="AK84" i="6"/>
  <c r="AC84" i="6"/>
  <c r="AA84" i="6"/>
  <c r="AD84" i="6" s="1"/>
  <c r="AF84" i="6" s="1"/>
  <c r="AW83" i="6"/>
  <c r="AU83" i="6"/>
  <c r="AS83" i="6"/>
  <c r="AQ83" i="6"/>
  <c r="AO83" i="6"/>
  <c r="AM83" i="6"/>
  <c r="AK83" i="6"/>
  <c r="AW82" i="6"/>
  <c r="AU82" i="6"/>
  <c r="AS82" i="6"/>
  <c r="AQ82" i="6"/>
  <c r="AO82" i="6"/>
  <c r="AM82" i="6"/>
  <c r="AK82" i="6"/>
  <c r="AW81" i="6"/>
  <c r="AU81" i="6"/>
  <c r="AS81" i="6"/>
  <c r="AQ81" i="6"/>
  <c r="AO81" i="6"/>
  <c r="AM81" i="6"/>
  <c r="AK81" i="6"/>
  <c r="AW80" i="6"/>
  <c r="AU80" i="6"/>
  <c r="AS80" i="6"/>
  <c r="AQ80" i="6"/>
  <c r="AO80" i="6"/>
  <c r="AM80" i="6"/>
  <c r="AK80" i="6"/>
  <c r="AC80" i="6"/>
  <c r="AA80" i="6"/>
  <c r="AD80" i="6" s="1"/>
  <c r="AF80" i="6" s="1"/>
  <c r="AW79" i="6"/>
  <c r="AU79" i="6"/>
  <c r="AS79" i="6"/>
  <c r="AQ79" i="6"/>
  <c r="AO79" i="6"/>
  <c r="AM79" i="6"/>
  <c r="AK79" i="6"/>
  <c r="AW78" i="6"/>
  <c r="AU78" i="6"/>
  <c r="AS78" i="6"/>
  <c r="AQ78" i="6"/>
  <c r="AO78" i="6"/>
  <c r="AM78" i="6"/>
  <c r="AK78" i="6"/>
  <c r="AW77" i="6"/>
  <c r="AU77" i="6"/>
  <c r="AS77" i="6"/>
  <c r="AQ77" i="6"/>
  <c r="AO77" i="6"/>
  <c r="AM77" i="6"/>
  <c r="AK77" i="6"/>
  <c r="AW76" i="6"/>
  <c r="AU76" i="6"/>
  <c r="AS76" i="6"/>
  <c r="AQ76" i="6"/>
  <c r="AO76" i="6"/>
  <c r="AM76" i="6"/>
  <c r="AK76" i="6"/>
  <c r="AC76" i="6"/>
  <c r="AA76" i="6"/>
  <c r="AD76" i="6" s="1"/>
  <c r="AF76" i="6" s="1"/>
  <c r="AW75" i="6"/>
  <c r="AU75" i="6"/>
  <c r="AS75" i="6"/>
  <c r="AQ75" i="6"/>
  <c r="AO75" i="6"/>
  <c r="AM75" i="6"/>
  <c r="AK75" i="6"/>
  <c r="AW74" i="6"/>
  <c r="AU74" i="6"/>
  <c r="AS74" i="6"/>
  <c r="AQ74" i="6"/>
  <c r="AO74" i="6"/>
  <c r="AM74" i="6"/>
  <c r="AK74" i="6"/>
  <c r="AW73" i="6"/>
  <c r="AU73" i="6"/>
  <c r="AS73" i="6"/>
  <c r="AQ73" i="6"/>
  <c r="AO73" i="6"/>
  <c r="AM73" i="6"/>
  <c r="AK73" i="6"/>
  <c r="AW72" i="6"/>
  <c r="AU72" i="6"/>
  <c r="AS72" i="6"/>
  <c r="AQ72" i="6"/>
  <c r="AO72" i="6"/>
  <c r="AM72" i="6"/>
  <c r="AK72" i="6"/>
  <c r="AC72" i="6"/>
  <c r="AA72" i="6"/>
  <c r="AD72" i="6" s="1"/>
  <c r="AF72" i="6" s="1"/>
  <c r="AW71" i="6"/>
  <c r="AU71" i="6"/>
  <c r="AS71" i="6"/>
  <c r="AQ71" i="6"/>
  <c r="AO71" i="6"/>
  <c r="AM71" i="6"/>
  <c r="AK71" i="6"/>
  <c r="AW70" i="6"/>
  <c r="AU70" i="6"/>
  <c r="AS70" i="6"/>
  <c r="AQ70" i="6"/>
  <c r="AO70" i="6"/>
  <c r="AM70" i="6"/>
  <c r="AK70" i="6"/>
  <c r="AW69" i="6"/>
  <c r="AU69" i="6"/>
  <c r="AS69" i="6"/>
  <c r="AQ69" i="6"/>
  <c r="AO69" i="6"/>
  <c r="AM69" i="6"/>
  <c r="AK69" i="6"/>
  <c r="AW68" i="6"/>
  <c r="AU68" i="6"/>
  <c r="AS68" i="6"/>
  <c r="AQ68" i="6"/>
  <c r="AO68" i="6"/>
  <c r="AM68" i="6"/>
  <c r="AK68" i="6"/>
  <c r="AC68" i="6"/>
  <c r="AA68" i="6"/>
  <c r="AD68" i="6" s="1"/>
  <c r="AF68" i="6" s="1"/>
  <c r="AW67" i="6"/>
  <c r="AU67" i="6"/>
  <c r="AS67" i="6"/>
  <c r="AQ67" i="6"/>
  <c r="AO67" i="6"/>
  <c r="AM67" i="6"/>
  <c r="AK67" i="6"/>
  <c r="AW66" i="6"/>
  <c r="AU66" i="6"/>
  <c r="AS66" i="6"/>
  <c r="AQ66" i="6"/>
  <c r="AO66" i="6"/>
  <c r="AM66" i="6"/>
  <c r="AK66" i="6"/>
  <c r="AW65" i="6"/>
  <c r="AU65" i="6"/>
  <c r="AS65" i="6"/>
  <c r="AQ65" i="6"/>
  <c r="AO65" i="6"/>
  <c r="AM65" i="6"/>
  <c r="AK65" i="6"/>
  <c r="AW64" i="6"/>
  <c r="AU64" i="6"/>
  <c r="AS64" i="6"/>
  <c r="AQ64" i="6"/>
  <c r="AO64" i="6"/>
  <c r="AM64" i="6"/>
  <c r="AK64" i="6"/>
  <c r="AC64" i="6"/>
  <c r="AA64" i="6"/>
  <c r="AD64" i="6" s="1"/>
  <c r="AF64" i="6" s="1"/>
  <c r="AW63" i="6"/>
  <c r="AU63" i="6"/>
  <c r="AS63" i="6"/>
  <c r="AQ63" i="6"/>
  <c r="AO63" i="6"/>
  <c r="AM63" i="6"/>
  <c r="AK63" i="6"/>
  <c r="AW62" i="6"/>
  <c r="AU62" i="6"/>
  <c r="AS62" i="6"/>
  <c r="AQ62" i="6"/>
  <c r="AO62" i="6"/>
  <c r="AM62" i="6"/>
  <c r="AK62" i="6"/>
  <c r="AW61" i="6"/>
  <c r="AU61" i="6"/>
  <c r="AS61" i="6"/>
  <c r="AQ61" i="6"/>
  <c r="AO61" i="6"/>
  <c r="AM61" i="6"/>
  <c r="AK61" i="6"/>
  <c r="AW60" i="6"/>
  <c r="AU60" i="6"/>
  <c r="AS60" i="6"/>
  <c r="AQ60" i="6"/>
  <c r="AO60" i="6"/>
  <c r="AM60" i="6"/>
  <c r="AK60" i="6"/>
  <c r="AC60" i="6"/>
  <c r="AA60" i="6"/>
  <c r="AD60" i="6" s="1"/>
  <c r="AF60" i="6" s="1"/>
  <c r="AW59" i="6"/>
  <c r="AU59" i="6"/>
  <c r="AS59" i="6"/>
  <c r="AQ59" i="6"/>
  <c r="AO59" i="6"/>
  <c r="AM59" i="6"/>
  <c r="AK59" i="6"/>
  <c r="AW58" i="6"/>
  <c r="AU58" i="6"/>
  <c r="AS58" i="6"/>
  <c r="AQ58" i="6"/>
  <c r="AO58" i="6"/>
  <c r="AM58" i="6"/>
  <c r="AK58" i="6"/>
  <c r="AW57" i="6"/>
  <c r="AU57" i="6"/>
  <c r="AS57" i="6"/>
  <c r="AQ57" i="6"/>
  <c r="AO57" i="6"/>
  <c r="AM57" i="6"/>
  <c r="AK57" i="6"/>
  <c r="AW56" i="6"/>
  <c r="AU56" i="6"/>
  <c r="AS56" i="6"/>
  <c r="AQ56" i="6"/>
  <c r="AO56" i="6"/>
  <c r="AM56" i="6"/>
  <c r="AK56" i="6"/>
  <c r="AC56" i="6"/>
  <c r="AA56" i="6"/>
  <c r="AD56" i="6" s="1"/>
  <c r="AF56" i="6" s="1"/>
  <c r="AW55" i="6"/>
  <c r="AU55" i="6"/>
  <c r="AS55" i="6"/>
  <c r="AQ55" i="6"/>
  <c r="AO55" i="6"/>
  <c r="AM55" i="6"/>
  <c r="AK55" i="6"/>
  <c r="AW54" i="6"/>
  <c r="AU54" i="6"/>
  <c r="AS54" i="6"/>
  <c r="AQ54" i="6"/>
  <c r="AO54" i="6"/>
  <c r="AM54" i="6"/>
  <c r="AK54" i="6"/>
  <c r="AW53" i="6"/>
  <c r="AU53" i="6"/>
  <c r="AS53" i="6"/>
  <c r="AQ53" i="6"/>
  <c r="AO53" i="6"/>
  <c r="AM53" i="6"/>
  <c r="AK53" i="6"/>
  <c r="AW52" i="6"/>
  <c r="AU52" i="6"/>
  <c r="AS52" i="6"/>
  <c r="AQ52" i="6"/>
  <c r="AO52" i="6"/>
  <c r="AM52" i="6"/>
  <c r="AK52" i="6"/>
  <c r="AC52" i="6"/>
  <c r="AA52" i="6"/>
  <c r="AD52" i="6" s="1"/>
  <c r="AF52" i="6" s="1"/>
  <c r="AW51" i="6"/>
  <c r="AU51" i="6"/>
  <c r="AS51" i="6"/>
  <c r="AQ51" i="6"/>
  <c r="AO51" i="6"/>
  <c r="AM51" i="6"/>
  <c r="AK51" i="6"/>
  <c r="AW50" i="6"/>
  <c r="AU50" i="6"/>
  <c r="AS50" i="6"/>
  <c r="AQ50" i="6"/>
  <c r="AO50" i="6"/>
  <c r="AM50" i="6"/>
  <c r="AK50" i="6"/>
  <c r="AW49" i="6"/>
  <c r="AU49" i="6"/>
  <c r="AS49" i="6"/>
  <c r="AQ49" i="6"/>
  <c r="AO49" i="6"/>
  <c r="AM49" i="6"/>
  <c r="AK49" i="6"/>
  <c r="AW48" i="6"/>
  <c r="AU48" i="6"/>
  <c r="AS48" i="6"/>
  <c r="AQ48" i="6"/>
  <c r="AO48" i="6"/>
  <c r="AM48" i="6"/>
  <c r="AK48" i="6"/>
  <c r="AC48" i="6"/>
  <c r="AA48" i="6"/>
  <c r="AD48" i="6" s="1"/>
  <c r="AF48" i="6" s="1"/>
  <c r="AW47" i="6"/>
  <c r="AU47" i="6"/>
  <c r="AS47" i="6"/>
  <c r="AQ47" i="6"/>
  <c r="AO47" i="6"/>
  <c r="AM47" i="6"/>
  <c r="AK47" i="6"/>
  <c r="AW46" i="6"/>
  <c r="AU46" i="6"/>
  <c r="AS46" i="6"/>
  <c r="AQ46" i="6"/>
  <c r="AO46" i="6"/>
  <c r="AM46" i="6"/>
  <c r="AK46" i="6"/>
  <c r="AW45" i="6"/>
  <c r="AU45" i="6"/>
  <c r="AS45" i="6"/>
  <c r="AQ45" i="6"/>
  <c r="AO45" i="6"/>
  <c r="AM45" i="6"/>
  <c r="AK45" i="6"/>
  <c r="AW44" i="6"/>
  <c r="AU44" i="6"/>
  <c r="AS44" i="6"/>
  <c r="AQ44" i="6"/>
  <c r="AO44" i="6"/>
  <c r="AM44" i="6"/>
  <c r="AK44" i="6"/>
  <c r="AC44" i="6"/>
  <c r="AA44" i="6"/>
  <c r="AD44" i="6" s="1"/>
  <c r="AF44" i="6" s="1"/>
  <c r="AW43" i="6"/>
  <c r="AU43" i="6"/>
  <c r="AS43" i="6"/>
  <c r="AQ43" i="6"/>
  <c r="AO43" i="6"/>
  <c r="AM43" i="6"/>
  <c r="AK43" i="6"/>
  <c r="AW42" i="6"/>
  <c r="AU42" i="6"/>
  <c r="AS42" i="6"/>
  <c r="AQ42" i="6"/>
  <c r="AO42" i="6"/>
  <c r="AM42" i="6"/>
  <c r="AK42" i="6"/>
  <c r="AW41" i="6"/>
  <c r="AU41" i="6"/>
  <c r="AS41" i="6"/>
  <c r="AQ41" i="6"/>
  <c r="AO41" i="6"/>
  <c r="AM41" i="6"/>
  <c r="AK41" i="6"/>
  <c r="AW40" i="6"/>
  <c r="AU40" i="6"/>
  <c r="AS40" i="6"/>
  <c r="AQ40" i="6"/>
  <c r="AO40" i="6"/>
  <c r="AM40" i="6"/>
  <c r="AK40" i="6"/>
  <c r="AC40" i="6"/>
  <c r="AA40" i="6"/>
  <c r="AD40" i="6" s="1"/>
  <c r="AF40" i="6" s="1"/>
  <c r="AW39" i="6"/>
  <c r="AU39" i="6"/>
  <c r="AS39" i="6"/>
  <c r="AQ39" i="6"/>
  <c r="AO39" i="6"/>
  <c r="AM39" i="6"/>
  <c r="AK39" i="6"/>
  <c r="AW38" i="6"/>
  <c r="AU38" i="6"/>
  <c r="AS38" i="6"/>
  <c r="AQ38" i="6"/>
  <c r="AO38" i="6"/>
  <c r="AM38" i="6"/>
  <c r="AK38" i="6"/>
  <c r="AW37" i="6"/>
  <c r="AU37" i="6"/>
  <c r="AS37" i="6"/>
  <c r="AQ37" i="6"/>
  <c r="AO37" i="6"/>
  <c r="AM37" i="6"/>
  <c r="AK37" i="6"/>
  <c r="AW36" i="6"/>
  <c r="AU36" i="6"/>
  <c r="AS36" i="6"/>
  <c r="AQ36" i="6"/>
  <c r="AO36" i="6"/>
  <c r="AM36" i="6"/>
  <c r="AK36" i="6"/>
  <c r="AC36" i="6"/>
  <c r="AA36" i="6"/>
  <c r="AD36" i="6" s="1"/>
  <c r="AF36" i="6" s="1"/>
  <c r="AW35" i="6"/>
  <c r="AU35" i="6"/>
  <c r="AS35" i="6"/>
  <c r="AQ35" i="6"/>
  <c r="AO35" i="6"/>
  <c r="AM35" i="6"/>
  <c r="AK35" i="6"/>
  <c r="AW34" i="6"/>
  <c r="AU34" i="6"/>
  <c r="AS34" i="6"/>
  <c r="AQ34" i="6"/>
  <c r="AO34" i="6"/>
  <c r="AM34" i="6"/>
  <c r="AK34" i="6"/>
  <c r="AW33" i="6"/>
  <c r="AU33" i="6"/>
  <c r="AS33" i="6"/>
  <c r="AQ33" i="6"/>
  <c r="AO33" i="6"/>
  <c r="AM33" i="6"/>
  <c r="AK33" i="6"/>
  <c r="AW32" i="6"/>
  <c r="AU32" i="6"/>
  <c r="AS32" i="6"/>
  <c r="AQ32" i="6"/>
  <c r="AO32" i="6"/>
  <c r="AM32" i="6"/>
  <c r="AK32" i="6"/>
  <c r="AC32" i="6"/>
  <c r="AA32" i="6"/>
  <c r="AD32" i="6" s="1"/>
  <c r="AF32" i="6" s="1"/>
  <c r="AW31" i="6"/>
  <c r="AU31" i="6"/>
  <c r="AS31" i="6"/>
  <c r="AQ31" i="6"/>
  <c r="AO31" i="6"/>
  <c r="AM31" i="6"/>
  <c r="AK31" i="6"/>
  <c r="AW30" i="6"/>
  <c r="AU30" i="6"/>
  <c r="AS30" i="6"/>
  <c r="AQ30" i="6"/>
  <c r="AO30" i="6"/>
  <c r="AM30" i="6"/>
  <c r="AK30" i="6"/>
  <c r="AW29" i="6"/>
  <c r="AU29" i="6"/>
  <c r="AS29" i="6"/>
  <c r="AQ29" i="6"/>
  <c r="AO29" i="6"/>
  <c r="AM29" i="6"/>
  <c r="AK29" i="6"/>
  <c r="BA28" i="6"/>
  <c r="AW28" i="6"/>
  <c r="AU28" i="6"/>
  <c r="AS28" i="6"/>
  <c r="AQ28" i="6"/>
  <c r="AO28" i="6"/>
  <c r="AM28" i="6"/>
  <c r="AK28" i="6"/>
  <c r="AC28" i="6"/>
  <c r="AA28" i="6"/>
  <c r="AD28" i="6" s="1"/>
  <c r="AF28" i="6" s="1"/>
  <c r="AW27" i="6"/>
  <c r="AU27" i="6"/>
  <c r="AS27" i="6"/>
  <c r="AQ27" i="6"/>
  <c r="AO27" i="6"/>
  <c r="AM27" i="6"/>
  <c r="AK27" i="6"/>
  <c r="AW26" i="6"/>
  <c r="AU26" i="6"/>
  <c r="AS26" i="6"/>
  <c r="AQ26" i="6"/>
  <c r="AO26" i="6"/>
  <c r="AM26" i="6"/>
  <c r="AK26" i="6"/>
  <c r="AW25" i="6"/>
  <c r="AU25" i="6"/>
  <c r="AS25" i="6"/>
  <c r="AQ25" i="6"/>
  <c r="AO25" i="6"/>
  <c r="AM25" i="6"/>
  <c r="AK25" i="6"/>
  <c r="BA24" i="6"/>
  <c r="AW24" i="6"/>
  <c r="AU24" i="6"/>
  <c r="AS24" i="6"/>
  <c r="AQ24" i="6"/>
  <c r="AO24" i="6"/>
  <c r="AM24" i="6"/>
  <c r="AK24" i="6"/>
  <c r="AC24" i="6"/>
  <c r="AA24" i="6"/>
  <c r="AD24" i="6" s="1"/>
  <c r="AF24" i="6" s="1"/>
  <c r="AW23" i="6"/>
  <c r="AU23" i="6"/>
  <c r="AS23" i="6"/>
  <c r="AQ23" i="6"/>
  <c r="AO23" i="6"/>
  <c r="AM23" i="6"/>
  <c r="AK23" i="6"/>
  <c r="AW22" i="6"/>
  <c r="AU22" i="6"/>
  <c r="AS22" i="6"/>
  <c r="AQ22" i="6"/>
  <c r="AO22" i="6"/>
  <c r="AM22" i="6"/>
  <c r="AK22" i="6"/>
  <c r="AW21" i="6"/>
  <c r="AU21" i="6"/>
  <c r="AS21" i="6"/>
  <c r="AQ21" i="6"/>
  <c r="AO21" i="6"/>
  <c r="AM21" i="6"/>
  <c r="AK21" i="6"/>
  <c r="BA20" i="6"/>
  <c r="AW20" i="6"/>
  <c r="AU20" i="6"/>
  <c r="AS20" i="6"/>
  <c r="AQ20" i="6"/>
  <c r="AO20" i="6"/>
  <c r="AM20" i="6"/>
  <c r="AK20" i="6"/>
  <c r="AC20" i="6"/>
  <c r="AA20" i="6"/>
  <c r="AD20" i="6" s="1"/>
  <c r="AF20" i="6" s="1"/>
  <c r="AW19" i="6"/>
  <c r="AU19" i="6"/>
  <c r="AS19" i="6"/>
  <c r="AQ19" i="6"/>
  <c r="AO19" i="6"/>
  <c r="AM19" i="6"/>
  <c r="AK19" i="6"/>
  <c r="AW18" i="6"/>
  <c r="AU18" i="6"/>
  <c r="AS18" i="6"/>
  <c r="AQ18" i="6"/>
  <c r="AO18" i="6"/>
  <c r="AM18" i="6"/>
  <c r="AK18" i="6"/>
  <c r="AW17" i="6"/>
  <c r="AU17" i="6"/>
  <c r="AS17" i="6"/>
  <c r="AQ17" i="6"/>
  <c r="AO17" i="6"/>
  <c r="AM17" i="6"/>
  <c r="AK17" i="6"/>
  <c r="BA16" i="6"/>
  <c r="AW16" i="6"/>
  <c r="AU16" i="6"/>
  <c r="AS16" i="6"/>
  <c r="AQ16" i="6"/>
  <c r="AO16" i="6"/>
  <c r="AM16" i="6"/>
  <c r="AK16" i="6"/>
  <c r="AC16" i="6"/>
  <c r="AA16" i="6"/>
  <c r="AD16" i="6" s="1"/>
  <c r="AF16" i="6" s="1"/>
  <c r="AW15" i="6"/>
  <c r="AU15" i="6"/>
  <c r="AS15" i="6"/>
  <c r="AQ15" i="6"/>
  <c r="AO15" i="6"/>
  <c r="AM15" i="6"/>
  <c r="AK15" i="6"/>
  <c r="AW13" i="6"/>
  <c r="AU13" i="6"/>
  <c r="AS13" i="6"/>
  <c r="AQ13" i="6"/>
  <c r="AO13" i="6"/>
  <c r="AM13" i="6"/>
  <c r="AK13" i="6"/>
  <c r="AW12" i="6"/>
  <c r="AU12" i="6"/>
  <c r="AS12" i="6"/>
  <c r="AQ12" i="6"/>
  <c r="AO12" i="6"/>
  <c r="AM12" i="6"/>
  <c r="AK12" i="6"/>
  <c r="BA11" i="6"/>
  <c r="AW11" i="6"/>
  <c r="AU11" i="6"/>
  <c r="AS11" i="6"/>
  <c r="AQ11" i="6"/>
  <c r="AO11" i="6"/>
  <c r="AM11" i="6"/>
  <c r="AK11" i="6"/>
  <c r="AC11" i="6"/>
  <c r="AA11" i="6"/>
  <c r="AD11" i="6" s="1"/>
  <c r="AF11" i="6" s="1"/>
  <c r="BA7" i="6"/>
  <c r="AW8" i="6"/>
  <c r="AW9" i="6"/>
  <c r="AW10" i="6"/>
  <c r="AU8" i="6"/>
  <c r="AU9" i="6"/>
  <c r="AU10" i="6"/>
  <c r="AS8" i="6"/>
  <c r="AS9" i="6"/>
  <c r="AS10" i="6"/>
  <c r="AQ8" i="6"/>
  <c r="AQ9" i="6"/>
  <c r="AQ10" i="6"/>
  <c r="AO8" i="6"/>
  <c r="AO9" i="6"/>
  <c r="AO10" i="6"/>
  <c r="AM8" i="6"/>
  <c r="AM9" i="6"/>
  <c r="AM10" i="6"/>
  <c r="AK8" i="6"/>
  <c r="AK9" i="6"/>
  <c r="AK10" i="6"/>
  <c r="AW7" i="6"/>
  <c r="AU7" i="6"/>
  <c r="AS7" i="6"/>
  <c r="AQ7" i="6"/>
  <c r="AO7" i="6"/>
  <c r="AM7" i="6"/>
  <c r="AK7" i="6"/>
  <c r="U7" i="10"/>
  <c r="AA7" i="6"/>
  <c r="AD7" i="6" s="1"/>
  <c r="AC7" i="6"/>
  <c r="AX13" i="6" l="1"/>
  <c r="AY13" i="6" s="1"/>
  <c r="AX17" i="6"/>
  <c r="AY17" i="6" s="1"/>
  <c r="AX30" i="6"/>
  <c r="AY30" i="6" s="1"/>
  <c r="AX27" i="6"/>
  <c r="AY27" i="6" s="1"/>
  <c r="AX48" i="6"/>
  <c r="AY48" i="6" s="1"/>
  <c r="AX62" i="6"/>
  <c r="AY62" i="6" s="1"/>
  <c r="AX64" i="6"/>
  <c r="AY64" i="6" s="1"/>
  <c r="AX78" i="6"/>
  <c r="AY78" i="6" s="1"/>
  <c r="AX80" i="6"/>
  <c r="AY80" i="6" s="1"/>
  <c r="AX46" i="6"/>
  <c r="AY46" i="6" s="1"/>
  <c r="AX49" i="6"/>
  <c r="AY49" i="6" s="1"/>
  <c r="AX65" i="6"/>
  <c r="AY65" i="6" s="1"/>
  <c r="AX81" i="6"/>
  <c r="AY81" i="6" s="1"/>
  <c r="AX97" i="6"/>
  <c r="AY97" i="6" s="1"/>
  <c r="AX113" i="6"/>
  <c r="AY113" i="6" s="1"/>
  <c r="AX94" i="6"/>
  <c r="AY94" i="6" s="1"/>
  <c r="AX96" i="6"/>
  <c r="AY96" i="6" s="1"/>
  <c r="AX110" i="6"/>
  <c r="AY110" i="6" s="1"/>
  <c r="AX112" i="6"/>
  <c r="AY112" i="6" s="1"/>
  <c r="AX126" i="6"/>
  <c r="AY126" i="6" s="1"/>
  <c r="AX43" i="6"/>
  <c r="AY43" i="6" s="1"/>
  <c r="AX59" i="6"/>
  <c r="AY59" i="6" s="1"/>
  <c r="AX75" i="6"/>
  <c r="AY75" i="6" s="1"/>
  <c r="AX91" i="6"/>
  <c r="AY91" i="6" s="1"/>
  <c r="AX107" i="6"/>
  <c r="AY107" i="6" s="1"/>
  <c r="AX123" i="6"/>
  <c r="AY123" i="6" s="1"/>
  <c r="AX33" i="6"/>
  <c r="AY33" i="6" s="1"/>
  <c r="AX32" i="6"/>
  <c r="AY32" i="6" s="1"/>
  <c r="AX26" i="6"/>
  <c r="AY26" i="6" s="1"/>
  <c r="AX29" i="6"/>
  <c r="AY29" i="6" s="1"/>
  <c r="AX39" i="6"/>
  <c r="AY39" i="6" s="1"/>
  <c r="AX42" i="6"/>
  <c r="AY42" i="6" s="1"/>
  <c r="AX44" i="6"/>
  <c r="AY44" i="6" s="1"/>
  <c r="AX45" i="6"/>
  <c r="AY45" i="6" s="1"/>
  <c r="AX55" i="6"/>
  <c r="AY55" i="6" s="1"/>
  <c r="AX58" i="6"/>
  <c r="AY58" i="6" s="1"/>
  <c r="AX60" i="6"/>
  <c r="AY60" i="6" s="1"/>
  <c r="AX61" i="6"/>
  <c r="AY61" i="6" s="1"/>
  <c r="AX71" i="6"/>
  <c r="AY71" i="6" s="1"/>
  <c r="AX74" i="6"/>
  <c r="AY74" i="6" s="1"/>
  <c r="AX76" i="6"/>
  <c r="AY76" i="6" s="1"/>
  <c r="AX77" i="6"/>
  <c r="AY77" i="6" s="1"/>
  <c r="AX87" i="6"/>
  <c r="AY87" i="6" s="1"/>
  <c r="AX90" i="6"/>
  <c r="AY90" i="6" s="1"/>
  <c r="AX92" i="6"/>
  <c r="AY92" i="6" s="1"/>
  <c r="AX93" i="6"/>
  <c r="AY93" i="6" s="1"/>
  <c r="AX103" i="6"/>
  <c r="AY103" i="6" s="1"/>
  <c r="AX106" i="6"/>
  <c r="AY106" i="6" s="1"/>
  <c r="AX108" i="6"/>
  <c r="AY108" i="6" s="1"/>
  <c r="AX109" i="6"/>
  <c r="AY109" i="6" s="1"/>
  <c r="AX119" i="6"/>
  <c r="AY119" i="6" s="1"/>
  <c r="AX122" i="6"/>
  <c r="AY122" i="6" s="1"/>
  <c r="AX124" i="6"/>
  <c r="AY124" i="6" s="1"/>
  <c r="AX125" i="6"/>
  <c r="AY125" i="6" s="1"/>
  <c r="AX12" i="6"/>
  <c r="AY12" i="6" s="1"/>
  <c r="AX25" i="6"/>
  <c r="AY25" i="6" s="1"/>
  <c r="AX35" i="6"/>
  <c r="AY35" i="6" s="1"/>
  <c r="AX38" i="6"/>
  <c r="AY38" i="6" s="1"/>
  <c r="AX40" i="6"/>
  <c r="AY40" i="6" s="1"/>
  <c r="AX41" i="6"/>
  <c r="AY41" i="6" s="1"/>
  <c r="AX51" i="6"/>
  <c r="AY51" i="6" s="1"/>
  <c r="AX54" i="6"/>
  <c r="AY54" i="6" s="1"/>
  <c r="AX56" i="6"/>
  <c r="AY56" i="6" s="1"/>
  <c r="AX57" i="6"/>
  <c r="AY57" i="6" s="1"/>
  <c r="AX67" i="6"/>
  <c r="AY67" i="6" s="1"/>
  <c r="AX70" i="6"/>
  <c r="AY70" i="6" s="1"/>
  <c r="AX72" i="6"/>
  <c r="AY72" i="6" s="1"/>
  <c r="AX73" i="6"/>
  <c r="AY73" i="6" s="1"/>
  <c r="AX83" i="6"/>
  <c r="AY83" i="6" s="1"/>
  <c r="AX86" i="6"/>
  <c r="AY86" i="6" s="1"/>
  <c r="AX88" i="6"/>
  <c r="AY88" i="6" s="1"/>
  <c r="AX89" i="6"/>
  <c r="AY89" i="6" s="1"/>
  <c r="AX99" i="6"/>
  <c r="AY99" i="6" s="1"/>
  <c r="AX102" i="6"/>
  <c r="AY102" i="6" s="1"/>
  <c r="AX104" i="6"/>
  <c r="AY104" i="6" s="1"/>
  <c r="AX105" i="6"/>
  <c r="AY105" i="6" s="1"/>
  <c r="AX115" i="6"/>
  <c r="AY115" i="6" s="1"/>
  <c r="AX118" i="6"/>
  <c r="AY118" i="6" s="1"/>
  <c r="AX120" i="6"/>
  <c r="AY120" i="6" s="1"/>
  <c r="AX121" i="6"/>
  <c r="AY121" i="6" s="1"/>
  <c r="AX15" i="6"/>
  <c r="AY15" i="6" s="1"/>
  <c r="AX18" i="6"/>
  <c r="AY18" i="6" s="1"/>
  <c r="AX21" i="6"/>
  <c r="AY21" i="6" s="1"/>
  <c r="AX31" i="6"/>
  <c r="AY31" i="6" s="1"/>
  <c r="AX34" i="6"/>
  <c r="AY34" i="6" s="1"/>
  <c r="AX36" i="6"/>
  <c r="AY36" i="6" s="1"/>
  <c r="AX37" i="6"/>
  <c r="AY37" i="6" s="1"/>
  <c r="AX47" i="6"/>
  <c r="AY47" i="6" s="1"/>
  <c r="AX50" i="6"/>
  <c r="AY50" i="6" s="1"/>
  <c r="AX52" i="6"/>
  <c r="AY52" i="6" s="1"/>
  <c r="AX53" i="6"/>
  <c r="AY53" i="6" s="1"/>
  <c r="AX63" i="6"/>
  <c r="AY63" i="6" s="1"/>
  <c r="AX66" i="6"/>
  <c r="AY66" i="6" s="1"/>
  <c r="AX68" i="6"/>
  <c r="AY68" i="6" s="1"/>
  <c r="AX69" i="6"/>
  <c r="AY69" i="6" s="1"/>
  <c r="AX79" i="6"/>
  <c r="AY79" i="6" s="1"/>
  <c r="AX82" i="6"/>
  <c r="AY82" i="6" s="1"/>
  <c r="AX84" i="6"/>
  <c r="AY84" i="6" s="1"/>
  <c r="AX85" i="6"/>
  <c r="AY85" i="6" s="1"/>
  <c r="AX95" i="6"/>
  <c r="AY95" i="6" s="1"/>
  <c r="AX98" i="6"/>
  <c r="AY98" i="6" s="1"/>
  <c r="AX100" i="6"/>
  <c r="AY100" i="6" s="1"/>
  <c r="AX101" i="6"/>
  <c r="AY101" i="6" s="1"/>
  <c r="AX111" i="6"/>
  <c r="AY111" i="6" s="1"/>
  <c r="AX114" i="6"/>
  <c r="AY114" i="6" s="1"/>
  <c r="AX116" i="6"/>
  <c r="AY116" i="6" s="1"/>
  <c r="AX117" i="6"/>
  <c r="AY117" i="6" s="1"/>
  <c r="AX127" i="6"/>
  <c r="AY127" i="6" s="1"/>
  <c r="AE104" i="6"/>
  <c r="AF104" i="6"/>
  <c r="AX8" i="6"/>
  <c r="AY8" i="6" s="1"/>
  <c r="BI7" i="6"/>
  <c r="AF7" i="6"/>
  <c r="AX16" i="6"/>
  <c r="AY16" i="6" s="1"/>
  <c r="AX28" i="6"/>
  <c r="AY28" i="6" s="1"/>
  <c r="AX11" i="6"/>
  <c r="AY11" i="6" s="1"/>
  <c r="AX24" i="6"/>
  <c r="AY24" i="6" s="1"/>
  <c r="AX20" i="6"/>
  <c r="AY20" i="6" s="1"/>
  <c r="BI104" i="6"/>
  <c r="AE124" i="6"/>
  <c r="BI124" i="6"/>
  <c r="AE120" i="6"/>
  <c r="BI120" i="6"/>
  <c r="AE116" i="6"/>
  <c r="BI116" i="6"/>
  <c r="AE112" i="6"/>
  <c r="BI112" i="6"/>
  <c r="AE108" i="6"/>
  <c r="BI108" i="6"/>
  <c r="AE100" i="6"/>
  <c r="BI100" i="6"/>
  <c r="AE96" i="6"/>
  <c r="BI96" i="6"/>
  <c r="AE92" i="6"/>
  <c r="BI92" i="6"/>
  <c r="AE88" i="6"/>
  <c r="BI88" i="6"/>
  <c r="AE84" i="6"/>
  <c r="BI84" i="6"/>
  <c r="AE80" i="6"/>
  <c r="BI80" i="6"/>
  <c r="AE76" i="6"/>
  <c r="BI76" i="6"/>
  <c r="AE72" i="6"/>
  <c r="BI72" i="6"/>
  <c r="AE68" i="6"/>
  <c r="BI68" i="6"/>
  <c r="AE64" i="6"/>
  <c r="BI64" i="6"/>
  <c r="AE60" i="6"/>
  <c r="BI60" i="6"/>
  <c r="AE56" i="6"/>
  <c r="BI56" i="6"/>
  <c r="AE52" i="6"/>
  <c r="BI52" i="6"/>
  <c r="BI48" i="6"/>
  <c r="AE48" i="6"/>
  <c r="AE44" i="6"/>
  <c r="BI44" i="6"/>
  <c r="AE40" i="6"/>
  <c r="BI40" i="6"/>
  <c r="BI36" i="6"/>
  <c r="AE36" i="6"/>
  <c r="AE32" i="6"/>
  <c r="BI32" i="6"/>
  <c r="BI28" i="6"/>
  <c r="AE28" i="6"/>
  <c r="AE24" i="6"/>
  <c r="BI24" i="6"/>
  <c r="AE20" i="6"/>
  <c r="BI20" i="6"/>
  <c r="AE16" i="6"/>
  <c r="BI16" i="6"/>
  <c r="AE11" i="6"/>
  <c r="BI11" i="6"/>
  <c r="AE7" i="6"/>
  <c r="AX7" i="6"/>
  <c r="AY7" i="6" s="1"/>
  <c r="AI235" i="10" l="1"/>
  <c r="AE235" i="10"/>
  <c r="AC235" i="10"/>
  <c r="AA235" i="10"/>
  <c r="Y235" i="10"/>
  <c r="W235" i="10"/>
  <c r="U235" i="10"/>
  <c r="S235" i="10"/>
  <c r="AI234" i="10"/>
  <c r="AE234" i="10"/>
  <c r="AC234" i="10"/>
  <c r="AA234" i="10"/>
  <c r="Y234" i="10"/>
  <c r="W234" i="10"/>
  <c r="U234" i="10"/>
  <c r="S234" i="10"/>
  <c r="AI233" i="10"/>
  <c r="AE233" i="10"/>
  <c r="AC233" i="10"/>
  <c r="AA233" i="10"/>
  <c r="Y233" i="10"/>
  <c r="W233" i="10"/>
  <c r="U233" i="10"/>
  <c r="S233" i="10"/>
  <c r="AI232" i="10"/>
  <c r="AE232" i="10"/>
  <c r="AC232" i="10"/>
  <c r="AA232" i="10"/>
  <c r="Y232" i="10"/>
  <c r="W232" i="10"/>
  <c r="U232" i="10"/>
  <c r="S232" i="10"/>
  <c r="N232" i="10"/>
  <c r="M232" i="10"/>
  <c r="K232" i="10"/>
  <c r="AI231" i="10"/>
  <c r="AE231" i="10"/>
  <c r="AC231" i="10"/>
  <c r="AA231" i="10"/>
  <c r="Y231" i="10"/>
  <c r="W231" i="10"/>
  <c r="U231" i="10"/>
  <c r="S231" i="10"/>
  <c r="AI230" i="10"/>
  <c r="AE230" i="10"/>
  <c r="AC230" i="10"/>
  <c r="AA230" i="10"/>
  <c r="Y230" i="10"/>
  <c r="W230" i="10"/>
  <c r="U230" i="10"/>
  <c r="S230" i="10"/>
  <c r="AI229" i="10"/>
  <c r="AE229" i="10"/>
  <c r="AC229" i="10"/>
  <c r="AA229" i="10"/>
  <c r="Y229" i="10"/>
  <c r="W229" i="10"/>
  <c r="U229" i="10"/>
  <c r="S229" i="10"/>
  <c r="AI228" i="10"/>
  <c r="AE228" i="10"/>
  <c r="AC228" i="10"/>
  <c r="AA228" i="10"/>
  <c r="Y228" i="10"/>
  <c r="W228" i="10"/>
  <c r="U228" i="10"/>
  <c r="S228" i="10"/>
  <c r="N228" i="10"/>
  <c r="M228" i="10"/>
  <c r="K228" i="10"/>
  <c r="AI227" i="10"/>
  <c r="AE227" i="10"/>
  <c r="AC227" i="10"/>
  <c r="AA227" i="10"/>
  <c r="Y227" i="10"/>
  <c r="W227" i="10"/>
  <c r="U227" i="10"/>
  <c r="S227" i="10"/>
  <c r="AI226" i="10"/>
  <c r="AE226" i="10"/>
  <c r="AC226" i="10"/>
  <c r="AA226" i="10"/>
  <c r="Y226" i="10"/>
  <c r="W226" i="10"/>
  <c r="U226" i="10"/>
  <c r="S226" i="10"/>
  <c r="AI225" i="10"/>
  <c r="AE225" i="10"/>
  <c r="AC225" i="10"/>
  <c r="AA225" i="10"/>
  <c r="Y225" i="10"/>
  <c r="W225" i="10"/>
  <c r="U225" i="10"/>
  <c r="S225" i="10"/>
  <c r="AI224" i="10"/>
  <c r="AE224" i="10"/>
  <c r="AC224" i="10"/>
  <c r="AA224" i="10"/>
  <c r="Y224" i="10"/>
  <c r="W224" i="10"/>
  <c r="U224" i="10"/>
  <c r="S224" i="10"/>
  <c r="N224" i="10"/>
  <c r="M224" i="10"/>
  <c r="K224" i="10"/>
  <c r="AI223" i="10"/>
  <c r="AE223" i="10"/>
  <c r="AC223" i="10"/>
  <c r="AA223" i="10"/>
  <c r="Y223" i="10"/>
  <c r="W223" i="10"/>
  <c r="U223" i="10"/>
  <c r="S223" i="10"/>
  <c r="AI222" i="10"/>
  <c r="AE222" i="10"/>
  <c r="AC222" i="10"/>
  <c r="AA222" i="10"/>
  <c r="Y222" i="10"/>
  <c r="W222" i="10"/>
  <c r="U222" i="10"/>
  <c r="S222" i="10"/>
  <c r="AI221" i="10"/>
  <c r="AE221" i="10"/>
  <c r="AC221" i="10"/>
  <c r="AA221" i="10"/>
  <c r="Y221" i="10"/>
  <c r="W221" i="10"/>
  <c r="U221" i="10"/>
  <c r="S221" i="10"/>
  <c r="AI220" i="10"/>
  <c r="AE220" i="10"/>
  <c r="AC220" i="10"/>
  <c r="AA220" i="10"/>
  <c r="Y220" i="10"/>
  <c r="W220" i="10"/>
  <c r="U220" i="10"/>
  <c r="S220" i="10"/>
  <c r="N220" i="10"/>
  <c r="M220" i="10"/>
  <c r="K220" i="10"/>
  <c r="AI219" i="10"/>
  <c r="AE219" i="10"/>
  <c r="AC219" i="10"/>
  <c r="AA219" i="10"/>
  <c r="Y219" i="10"/>
  <c r="W219" i="10"/>
  <c r="U219" i="10"/>
  <c r="S219" i="10"/>
  <c r="AI218" i="10"/>
  <c r="AE218" i="10"/>
  <c r="AC218" i="10"/>
  <c r="AA218" i="10"/>
  <c r="Y218" i="10"/>
  <c r="W218" i="10"/>
  <c r="U218" i="10"/>
  <c r="S218" i="10"/>
  <c r="AI217" i="10"/>
  <c r="AE217" i="10"/>
  <c r="AC217" i="10"/>
  <c r="AA217" i="10"/>
  <c r="Y217" i="10"/>
  <c r="W217" i="10"/>
  <c r="U217" i="10"/>
  <c r="S217" i="10"/>
  <c r="AI216" i="10"/>
  <c r="AE216" i="10"/>
  <c r="AC216" i="10"/>
  <c r="AA216" i="10"/>
  <c r="Y216" i="10"/>
  <c r="W216" i="10"/>
  <c r="U216" i="10"/>
  <c r="S216" i="10"/>
  <c r="N216" i="10"/>
  <c r="M216" i="10"/>
  <c r="K216" i="10"/>
  <c r="AI215" i="10"/>
  <c r="AE215" i="10"/>
  <c r="AC215" i="10"/>
  <c r="AA215" i="10"/>
  <c r="Y215" i="10"/>
  <c r="W215" i="10"/>
  <c r="U215" i="10"/>
  <c r="S215" i="10"/>
  <c r="AI214" i="10"/>
  <c r="AE214" i="10"/>
  <c r="AC214" i="10"/>
  <c r="AA214" i="10"/>
  <c r="Y214" i="10"/>
  <c r="W214" i="10"/>
  <c r="U214" i="10"/>
  <c r="S214" i="10"/>
  <c r="AI213" i="10"/>
  <c r="AE213" i="10"/>
  <c r="AC213" i="10"/>
  <c r="AA213" i="10"/>
  <c r="Y213" i="10"/>
  <c r="W213" i="10"/>
  <c r="U213" i="10"/>
  <c r="S213" i="10"/>
  <c r="AI212" i="10"/>
  <c r="AE212" i="10"/>
  <c r="AC212" i="10"/>
  <c r="AA212" i="10"/>
  <c r="Y212" i="10"/>
  <c r="W212" i="10"/>
  <c r="U212" i="10"/>
  <c r="S212" i="10"/>
  <c r="N212" i="10"/>
  <c r="M212" i="10"/>
  <c r="K212" i="10"/>
  <c r="AI211" i="10"/>
  <c r="AE211" i="10"/>
  <c r="AC211" i="10"/>
  <c r="AA211" i="10"/>
  <c r="Y211" i="10"/>
  <c r="W211" i="10"/>
  <c r="U211" i="10"/>
  <c r="S211" i="10"/>
  <c r="AI210" i="10"/>
  <c r="AE210" i="10"/>
  <c r="AC210" i="10"/>
  <c r="AA210" i="10"/>
  <c r="Y210" i="10"/>
  <c r="W210" i="10"/>
  <c r="U210" i="10"/>
  <c r="S210" i="10"/>
  <c r="AI209" i="10"/>
  <c r="AE209" i="10"/>
  <c r="AC209" i="10"/>
  <c r="AA209" i="10"/>
  <c r="Y209" i="10"/>
  <c r="W209" i="10"/>
  <c r="U209" i="10"/>
  <c r="S209" i="10"/>
  <c r="AI208" i="10"/>
  <c r="AE208" i="10"/>
  <c r="AC208" i="10"/>
  <c r="AA208" i="10"/>
  <c r="Y208" i="10"/>
  <c r="W208" i="10"/>
  <c r="U208" i="10"/>
  <c r="S208" i="10"/>
  <c r="N208" i="10"/>
  <c r="M208" i="10"/>
  <c r="K208" i="10"/>
  <c r="AI207" i="10"/>
  <c r="AE207" i="10"/>
  <c r="AC207" i="10"/>
  <c r="AA207" i="10"/>
  <c r="Y207" i="10"/>
  <c r="W207" i="10"/>
  <c r="U207" i="10"/>
  <c r="S207" i="10"/>
  <c r="AI206" i="10"/>
  <c r="AE206" i="10"/>
  <c r="AC206" i="10"/>
  <c r="AA206" i="10"/>
  <c r="Y206" i="10"/>
  <c r="W206" i="10"/>
  <c r="U206" i="10"/>
  <c r="S206" i="10"/>
  <c r="AI205" i="10"/>
  <c r="AE205" i="10"/>
  <c r="AC205" i="10"/>
  <c r="AA205" i="10"/>
  <c r="Y205" i="10"/>
  <c r="W205" i="10"/>
  <c r="U205" i="10"/>
  <c r="S205" i="10"/>
  <c r="AI204" i="10"/>
  <c r="AE204" i="10"/>
  <c r="AC204" i="10"/>
  <c r="AA204" i="10"/>
  <c r="Y204" i="10"/>
  <c r="W204" i="10"/>
  <c r="U204" i="10"/>
  <c r="S204" i="10"/>
  <c r="N204" i="10"/>
  <c r="M204" i="10"/>
  <c r="K204" i="10"/>
  <c r="AI203" i="10"/>
  <c r="AE203" i="10"/>
  <c r="AC203" i="10"/>
  <c r="AA203" i="10"/>
  <c r="Y203" i="10"/>
  <c r="W203" i="10"/>
  <c r="U203" i="10"/>
  <c r="S203" i="10"/>
  <c r="AI202" i="10"/>
  <c r="AE202" i="10"/>
  <c r="AC202" i="10"/>
  <c r="AA202" i="10"/>
  <c r="Y202" i="10"/>
  <c r="W202" i="10"/>
  <c r="U202" i="10"/>
  <c r="S202" i="10"/>
  <c r="AI201" i="10"/>
  <c r="AE201" i="10"/>
  <c r="AC201" i="10"/>
  <c r="AA201" i="10"/>
  <c r="Y201" i="10"/>
  <c r="W201" i="10"/>
  <c r="U201" i="10"/>
  <c r="S201" i="10"/>
  <c r="AI200" i="10"/>
  <c r="AE200" i="10"/>
  <c r="AC200" i="10"/>
  <c r="AA200" i="10"/>
  <c r="Y200" i="10"/>
  <c r="W200" i="10"/>
  <c r="U200" i="10"/>
  <c r="S200" i="10"/>
  <c r="N200" i="10"/>
  <c r="M200" i="10"/>
  <c r="K200" i="10"/>
  <c r="AI199" i="10"/>
  <c r="AE199" i="10"/>
  <c r="AC199" i="10"/>
  <c r="AA199" i="10"/>
  <c r="Y199" i="10"/>
  <c r="W199" i="10"/>
  <c r="U199" i="10"/>
  <c r="S199" i="10"/>
  <c r="AI198" i="10"/>
  <c r="AE198" i="10"/>
  <c r="AC198" i="10"/>
  <c r="AA198" i="10"/>
  <c r="Y198" i="10"/>
  <c r="W198" i="10"/>
  <c r="U198" i="10"/>
  <c r="S198" i="10"/>
  <c r="AI197" i="10"/>
  <c r="AE197" i="10"/>
  <c r="AC197" i="10"/>
  <c r="AA197" i="10"/>
  <c r="Y197" i="10"/>
  <c r="W197" i="10"/>
  <c r="U197" i="10"/>
  <c r="S197" i="10"/>
  <c r="AI196" i="10"/>
  <c r="AE196" i="10"/>
  <c r="AC196" i="10"/>
  <c r="AA196" i="10"/>
  <c r="Y196" i="10"/>
  <c r="W196" i="10"/>
  <c r="U196" i="10"/>
  <c r="S196" i="10"/>
  <c r="N196" i="10"/>
  <c r="M196" i="10"/>
  <c r="K196" i="10"/>
  <c r="AI195" i="10"/>
  <c r="AE195" i="10"/>
  <c r="AC195" i="10"/>
  <c r="AA195" i="10"/>
  <c r="Y195" i="10"/>
  <c r="W195" i="10"/>
  <c r="U195" i="10"/>
  <c r="S195" i="10"/>
  <c r="AI194" i="10"/>
  <c r="AE194" i="10"/>
  <c r="AC194" i="10"/>
  <c r="AA194" i="10"/>
  <c r="Y194" i="10"/>
  <c r="W194" i="10"/>
  <c r="U194" i="10"/>
  <c r="S194" i="10"/>
  <c r="AI193" i="10"/>
  <c r="AE193" i="10"/>
  <c r="AC193" i="10"/>
  <c r="AA193" i="10"/>
  <c r="Y193" i="10"/>
  <c r="W193" i="10"/>
  <c r="U193" i="10"/>
  <c r="S193" i="10"/>
  <c r="AI192" i="10"/>
  <c r="AE192" i="10"/>
  <c r="AC192" i="10"/>
  <c r="AA192" i="10"/>
  <c r="Y192" i="10"/>
  <c r="W192" i="10"/>
  <c r="U192" i="10"/>
  <c r="S192" i="10"/>
  <c r="N192" i="10"/>
  <c r="M192" i="10"/>
  <c r="K192" i="10"/>
  <c r="AI191" i="10"/>
  <c r="AE191" i="10"/>
  <c r="AC191" i="10"/>
  <c r="AA191" i="10"/>
  <c r="Y191" i="10"/>
  <c r="W191" i="10"/>
  <c r="U191" i="10"/>
  <c r="S191" i="10"/>
  <c r="AI190" i="10"/>
  <c r="AE190" i="10"/>
  <c r="AC190" i="10"/>
  <c r="AA190" i="10"/>
  <c r="Y190" i="10"/>
  <c r="W190" i="10"/>
  <c r="U190" i="10"/>
  <c r="S190" i="10"/>
  <c r="AI189" i="10"/>
  <c r="AE189" i="10"/>
  <c r="AC189" i="10"/>
  <c r="AA189" i="10"/>
  <c r="Y189" i="10"/>
  <c r="W189" i="10"/>
  <c r="U189" i="10"/>
  <c r="S189" i="10"/>
  <c r="AI188" i="10"/>
  <c r="AE188" i="10"/>
  <c r="AC188" i="10"/>
  <c r="AA188" i="10"/>
  <c r="Y188" i="10"/>
  <c r="W188" i="10"/>
  <c r="U188" i="10"/>
  <c r="N188" i="10"/>
  <c r="M188" i="10"/>
  <c r="K188" i="10"/>
  <c r="AI186" i="10"/>
  <c r="AE186" i="10"/>
  <c r="AC186" i="10"/>
  <c r="AA186" i="10"/>
  <c r="Y186" i="10"/>
  <c r="W186" i="10"/>
  <c r="U186" i="10"/>
  <c r="S186" i="10"/>
  <c r="AI185" i="10"/>
  <c r="AE185" i="10"/>
  <c r="AC185" i="10"/>
  <c r="AA185" i="10"/>
  <c r="Y185" i="10"/>
  <c r="W185" i="10"/>
  <c r="U185" i="10"/>
  <c r="S185" i="10"/>
  <c r="AI184" i="10"/>
  <c r="AE184" i="10"/>
  <c r="AC184" i="10"/>
  <c r="AA184" i="10"/>
  <c r="Y184" i="10"/>
  <c r="W184" i="10"/>
  <c r="U184" i="10"/>
  <c r="S184" i="10"/>
  <c r="AI183" i="10"/>
  <c r="AE183" i="10"/>
  <c r="AC183" i="10"/>
  <c r="AA183" i="10"/>
  <c r="Y183" i="10"/>
  <c r="W183" i="10"/>
  <c r="U183" i="10"/>
  <c r="S183" i="10"/>
  <c r="N183" i="10"/>
  <c r="M183" i="10"/>
  <c r="K183" i="10"/>
  <c r="AI182" i="10"/>
  <c r="AE182" i="10"/>
  <c r="AC182" i="10"/>
  <c r="AA182" i="10"/>
  <c r="Y182" i="10"/>
  <c r="W182" i="10"/>
  <c r="U182" i="10"/>
  <c r="S182" i="10"/>
  <c r="AI181" i="10"/>
  <c r="AE181" i="10"/>
  <c r="AC181" i="10"/>
  <c r="AA181" i="10"/>
  <c r="Y181" i="10"/>
  <c r="W181" i="10"/>
  <c r="U181" i="10"/>
  <c r="S181" i="10"/>
  <c r="AI180" i="10"/>
  <c r="AE180" i="10"/>
  <c r="AC180" i="10"/>
  <c r="AA180" i="10"/>
  <c r="Y180" i="10"/>
  <c r="W180" i="10"/>
  <c r="U180" i="10"/>
  <c r="S180" i="10"/>
  <c r="AI179" i="10"/>
  <c r="AE179" i="10"/>
  <c r="AC179" i="10"/>
  <c r="AA179" i="10"/>
  <c r="Y179" i="10"/>
  <c r="W179" i="10"/>
  <c r="U179" i="10"/>
  <c r="S179" i="10"/>
  <c r="N179" i="10"/>
  <c r="M179" i="10"/>
  <c r="K179" i="10"/>
  <c r="AI178" i="10"/>
  <c r="AE178" i="10"/>
  <c r="AC178" i="10"/>
  <c r="AA178" i="10"/>
  <c r="Y178" i="10"/>
  <c r="W178" i="10"/>
  <c r="U178" i="10"/>
  <c r="S178" i="10"/>
  <c r="AI177" i="10"/>
  <c r="AE177" i="10"/>
  <c r="AC177" i="10"/>
  <c r="AA177" i="10"/>
  <c r="Y177" i="10"/>
  <c r="W177" i="10"/>
  <c r="U177" i="10"/>
  <c r="S177" i="10"/>
  <c r="AI176" i="10"/>
  <c r="AE176" i="10"/>
  <c r="AC176" i="10"/>
  <c r="AA176" i="10"/>
  <c r="Y176" i="10"/>
  <c r="W176" i="10"/>
  <c r="U176" i="10"/>
  <c r="S176" i="10"/>
  <c r="AI175" i="10"/>
  <c r="AE175" i="10"/>
  <c r="AC175" i="10"/>
  <c r="AA175" i="10"/>
  <c r="Y175" i="10"/>
  <c r="W175" i="10"/>
  <c r="U175" i="10"/>
  <c r="S175" i="10"/>
  <c r="N175" i="10"/>
  <c r="M175" i="10"/>
  <c r="K175" i="10"/>
  <c r="AI174" i="10"/>
  <c r="AE174" i="10"/>
  <c r="AC174" i="10"/>
  <c r="AA174" i="10"/>
  <c r="Y174" i="10"/>
  <c r="W174" i="10"/>
  <c r="U174" i="10"/>
  <c r="S174" i="10"/>
  <c r="AI173" i="10"/>
  <c r="AE173" i="10"/>
  <c r="AC173" i="10"/>
  <c r="AA173" i="10"/>
  <c r="Y173" i="10"/>
  <c r="W173" i="10"/>
  <c r="U173" i="10"/>
  <c r="S173" i="10"/>
  <c r="AI172" i="10"/>
  <c r="AE172" i="10"/>
  <c r="AC172" i="10"/>
  <c r="AA172" i="10"/>
  <c r="Y172" i="10"/>
  <c r="W172" i="10"/>
  <c r="U172" i="10"/>
  <c r="S172" i="10"/>
  <c r="AI171" i="10"/>
  <c r="AE171" i="10"/>
  <c r="AC171" i="10"/>
  <c r="AA171" i="10"/>
  <c r="Y171" i="10"/>
  <c r="W171" i="10"/>
  <c r="U171" i="10"/>
  <c r="S171" i="10"/>
  <c r="N171" i="10"/>
  <c r="M171" i="10"/>
  <c r="K171" i="10"/>
  <c r="AI170" i="10"/>
  <c r="AE170" i="10"/>
  <c r="AC170" i="10"/>
  <c r="AA170" i="10"/>
  <c r="Y170" i="10"/>
  <c r="W170" i="10"/>
  <c r="U170" i="10"/>
  <c r="S170" i="10"/>
  <c r="AI169" i="10"/>
  <c r="AE169" i="10"/>
  <c r="AC169" i="10"/>
  <c r="AA169" i="10"/>
  <c r="Y169" i="10"/>
  <c r="W169" i="10"/>
  <c r="U169" i="10"/>
  <c r="S169" i="10"/>
  <c r="AI168" i="10"/>
  <c r="AE168" i="10"/>
  <c r="AC168" i="10"/>
  <c r="AA168" i="10"/>
  <c r="Y168" i="10"/>
  <c r="W168" i="10"/>
  <c r="U168" i="10"/>
  <c r="S168" i="10"/>
  <c r="AI167" i="10"/>
  <c r="AE167" i="10"/>
  <c r="AC167" i="10"/>
  <c r="AA167" i="10"/>
  <c r="Y167" i="10"/>
  <c r="W167" i="10"/>
  <c r="U167" i="10"/>
  <c r="S167" i="10"/>
  <c r="N167" i="10"/>
  <c r="M167" i="10"/>
  <c r="K167" i="10"/>
  <c r="AI166" i="10"/>
  <c r="AE166" i="10"/>
  <c r="AC166" i="10"/>
  <c r="AA166" i="10"/>
  <c r="Y166" i="10"/>
  <c r="W166" i="10"/>
  <c r="U166" i="10"/>
  <c r="S166" i="10"/>
  <c r="AI165" i="10"/>
  <c r="AE165" i="10"/>
  <c r="AC165" i="10"/>
  <c r="AA165" i="10"/>
  <c r="Y165" i="10"/>
  <c r="W165" i="10"/>
  <c r="U165" i="10"/>
  <c r="S165" i="10"/>
  <c r="AI164" i="10"/>
  <c r="AE164" i="10"/>
  <c r="AC164" i="10"/>
  <c r="AA164" i="10"/>
  <c r="Y164" i="10"/>
  <c r="W164" i="10"/>
  <c r="U164" i="10"/>
  <c r="S164" i="10"/>
  <c r="AI163" i="10"/>
  <c r="AE163" i="10"/>
  <c r="AC163" i="10"/>
  <c r="AA163" i="10"/>
  <c r="Y163" i="10"/>
  <c r="W163" i="10"/>
  <c r="U163" i="10"/>
  <c r="S163" i="10"/>
  <c r="N163" i="10"/>
  <c r="M163" i="10"/>
  <c r="K163" i="10"/>
  <c r="AI162" i="10"/>
  <c r="AE162" i="10"/>
  <c r="AC162" i="10"/>
  <c r="AA162" i="10"/>
  <c r="Y162" i="10"/>
  <c r="W162" i="10"/>
  <c r="U162" i="10"/>
  <c r="S162" i="10"/>
  <c r="AI161" i="10"/>
  <c r="AE161" i="10"/>
  <c r="AC161" i="10"/>
  <c r="AA161" i="10"/>
  <c r="Y161" i="10"/>
  <c r="W161" i="10"/>
  <c r="U161" i="10"/>
  <c r="S161" i="10"/>
  <c r="AI160" i="10"/>
  <c r="AE160" i="10"/>
  <c r="AC160" i="10"/>
  <c r="AA160" i="10"/>
  <c r="Y160" i="10"/>
  <c r="W160" i="10"/>
  <c r="U160" i="10"/>
  <c r="S160" i="10"/>
  <c r="AI159" i="10"/>
  <c r="AE159" i="10"/>
  <c r="AC159" i="10"/>
  <c r="AA159" i="10"/>
  <c r="Y159" i="10"/>
  <c r="W159" i="10"/>
  <c r="U159" i="10"/>
  <c r="S159" i="10"/>
  <c r="N159" i="10"/>
  <c r="M159" i="10"/>
  <c r="K159" i="10"/>
  <c r="AI158" i="10"/>
  <c r="AE158" i="10"/>
  <c r="AC158" i="10"/>
  <c r="AA158" i="10"/>
  <c r="Y158" i="10"/>
  <c r="W158" i="10"/>
  <c r="U158" i="10"/>
  <c r="S158" i="10"/>
  <c r="AI157" i="10"/>
  <c r="AE157" i="10"/>
  <c r="AC157" i="10"/>
  <c r="AA157" i="10"/>
  <c r="Y157" i="10"/>
  <c r="W157" i="10"/>
  <c r="U157" i="10"/>
  <c r="S157" i="10"/>
  <c r="AI156" i="10"/>
  <c r="AE156" i="10"/>
  <c r="AC156" i="10"/>
  <c r="AA156" i="10"/>
  <c r="Y156" i="10"/>
  <c r="W156" i="10"/>
  <c r="U156" i="10"/>
  <c r="S156" i="10"/>
  <c r="AI155" i="10"/>
  <c r="AE155" i="10"/>
  <c r="AC155" i="10"/>
  <c r="AA155" i="10"/>
  <c r="Y155" i="10"/>
  <c r="W155" i="10"/>
  <c r="U155" i="10"/>
  <c r="S155" i="10"/>
  <c r="N155" i="10"/>
  <c r="M155" i="10"/>
  <c r="K155" i="10"/>
  <c r="AI154" i="10"/>
  <c r="AE154" i="10"/>
  <c r="AC154" i="10"/>
  <c r="AA154" i="10"/>
  <c r="Y154" i="10"/>
  <c r="W154" i="10"/>
  <c r="U154" i="10"/>
  <c r="S154" i="10"/>
  <c r="AI153" i="10"/>
  <c r="AE153" i="10"/>
  <c r="AC153" i="10"/>
  <c r="AA153" i="10"/>
  <c r="Y153" i="10"/>
  <c r="W153" i="10"/>
  <c r="U153" i="10"/>
  <c r="S153" i="10"/>
  <c r="AI152" i="10"/>
  <c r="AE152" i="10"/>
  <c r="AC152" i="10"/>
  <c r="AA152" i="10"/>
  <c r="Y152" i="10"/>
  <c r="W152" i="10"/>
  <c r="U152" i="10"/>
  <c r="S152" i="10"/>
  <c r="AI151" i="10"/>
  <c r="AE151" i="10"/>
  <c r="AC151" i="10"/>
  <c r="AA151" i="10"/>
  <c r="Y151" i="10"/>
  <c r="W151" i="10"/>
  <c r="U151" i="10"/>
  <c r="S151" i="10"/>
  <c r="N151" i="10"/>
  <c r="M151" i="10"/>
  <c r="K151" i="10"/>
  <c r="AI150" i="10"/>
  <c r="AE150" i="10"/>
  <c r="AC150" i="10"/>
  <c r="AA150" i="10"/>
  <c r="Y150" i="10"/>
  <c r="W150" i="10"/>
  <c r="U150" i="10"/>
  <c r="S150" i="10"/>
  <c r="AI149" i="10"/>
  <c r="AE149" i="10"/>
  <c r="AC149" i="10"/>
  <c r="AA149" i="10"/>
  <c r="Y149" i="10"/>
  <c r="W149" i="10"/>
  <c r="U149" i="10"/>
  <c r="S149" i="10"/>
  <c r="AI148" i="10"/>
  <c r="AE148" i="10"/>
  <c r="AC148" i="10"/>
  <c r="AA148" i="10"/>
  <c r="Y148" i="10"/>
  <c r="W148" i="10"/>
  <c r="U148" i="10"/>
  <c r="S148" i="10"/>
  <c r="AI147" i="10"/>
  <c r="AE147" i="10"/>
  <c r="AC147" i="10"/>
  <c r="AA147" i="10"/>
  <c r="Y147" i="10"/>
  <c r="W147" i="10"/>
  <c r="U147" i="10"/>
  <c r="S147" i="10"/>
  <c r="N147" i="10"/>
  <c r="M147" i="10"/>
  <c r="K147" i="10"/>
  <c r="AI146" i="10"/>
  <c r="AE146" i="10"/>
  <c r="AC146" i="10"/>
  <c r="AA146" i="10"/>
  <c r="Y146" i="10"/>
  <c r="W146" i="10"/>
  <c r="U146" i="10"/>
  <c r="S146" i="10"/>
  <c r="AI145" i="10"/>
  <c r="AE145" i="10"/>
  <c r="AC145" i="10"/>
  <c r="AA145" i="10"/>
  <c r="Y145" i="10"/>
  <c r="W145" i="10"/>
  <c r="U145" i="10"/>
  <c r="S145" i="10"/>
  <c r="AI144" i="10"/>
  <c r="AE144" i="10"/>
  <c r="AC144" i="10"/>
  <c r="AA144" i="10"/>
  <c r="Y144" i="10"/>
  <c r="W144" i="10"/>
  <c r="U144" i="10"/>
  <c r="S144" i="10"/>
  <c r="AI143" i="10"/>
  <c r="AE143" i="10"/>
  <c r="AC143" i="10"/>
  <c r="AA143" i="10"/>
  <c r="Y143" i="10"/>
  <c r="W143" i="10"/>
  <c r="U143" i="10"/>
  <c r="S143" i="10"/>
  <c r="N143" i="10"/>
  <c r="M143" i="10"/>
  <c r="K143" i="10"/>
  <c r="AI142" i="10"/>
  <c r="AE142" i="10"/>
  <c r="AC142" i="10"/>
  <c r="AA142" i="10"/>
  <c r="Y142" i="10"/>
  <c r="W142" i="10"/>
  <c r="U142" i="10"/>
  <c r="S142" i="10"/>
  <c r="AI141" i="10"/>
  <c r="AE141" i="10"/>
  <c r="AC141" i="10"/>
  <c r="AA141" i="10"/>
  <c r="Y141" i="10"/>
  <c r="W141" i="10"/>
  <c r="U141" i="10"/>
  <c r="S141" i="10"/>
  <c r="AI140" i="10"/>
  <c r="AE140" i="10"/>
  <c r="AC140" i="10"/>
  <c r="AA140" i="10"/>
  <c r="Y140" i="10"/>
  <c r="W140" i="10"/>
  <c r="U140" i="10"/>
  <c r="S140" i="10"/>
  <c r="AI139" i="10"/>
  <c r="AE139" i="10"/>
  <c r="AC139" i="10"/>
  <c r="AA139" i="10"/>
  <c r="Y139" i="10"/>
  <c r="W139" i="10"/>
  <c r="U139" i="10"/>
  <c r="S139" i="10"/>
  <c r="N139" i="10"/>
  <c r="M139" i="10"/>
  <c r="K139" i="10"/>
  <c r="AI138" i="10"/>
  <c r="AE138" i="10"/>
  <c r="AC138" i="10"/>
  <c r="AA138" i="10"/>
  <c r="Y138" i="10"/>
  <c r="W138" i="10"/>
  <c r="U138" i="10"/>
  <c r="S138" i="10"/>
  <c r="AI137" i="10"/>
  <c r="AE137" i="10"/>
  <c r="AC137" i="10"/>
  <c r="AA137" i="10"/>
  <c r="Y137" i="10"/>
  <c r="W137" i="10"/>
  <c r="U137" i="10"/>
  <c r="S137" i="10"/>
  <c r="AI136" i="10"/>
  <c r="AE136" i="10"/>
  <c r="AC136" i="10"/>
  <c r="AA136" i="10"/>
  <c r="Y136" i="10"/>
  <c r="W136" i="10"/>
  <c r="U136" i="10"/>
  <c r="S136" i="10"/>
  <c r="AI135" i="10"/>
  <c r="AE135" i="10"/>
  <c r="AC135" i="10"/>
  <c r="AA135" i="10"/>
  <c r="Y135" i="10"/>
  <c r="W135" i="10"/>
  <c r="U135" i="10"/>
  <c r="S135" i="10"/>
  <c r="N135" i="10"/>
  <c r="M135" i="10"/>
  <c r="K135" i="10"/>
  <c r="AI134" i="10"/>
  <c r="AE134" i="10"/>
  <c r="AC134" i="10"/>
  <c r="AA134" i="10"/>
  <c r="Y134" i="10"/>
  <c r="W134" i="10"/>
  <c r="U134" i="10"/>
  <c r="S134" i="10"/>
  <c r="AI133" i="10"/>
  <c r="AE133" i="10"/>
  <c r="AC133" i="10"/>
  <c r="AA133" i="10"/>
  <c r="Y133" i="10"/>
  <c r="W133" i="10"/>
  <c r="U133" i="10"/>
  <c r="S133" i="10"/>
  <c r="AI132" i="10"/>
  <c r="AE132" i="10"/>
  <c r="AC132" i="10"/>
  <c r="AA132" i="10"/>
  <c r="Y132" i="10"/>
  <c r="W132" i="10"/>
  <c r="U132" i="10"/>
  <c r="S132" i="10"/>
  <c r="AI131" i="10"/>
  <c r="AE131" i="10"/>
  <c r="AC131" i="10"/>
  <c r="AA131" i="10"/>
  <c r="Y131" i="10"/>
  <c r="W131" i="10"/>
  <c r="U131" i="10"/>
  <c r="S131" i="10"/>
  <c r="N131" i="10"/>
  <c r="M131" i="10"/>
  <c r="K131" i="10"/>
  <c r="AI130" i="10"/>
  <c r="AE130" i="10"/>
  <c r="AC130" i="10"/>
  <c r="AA130" i="10"/>
  <c r="Y130" i="10"/>
  <c r="W130" i="10"/>
  <c r="U130" i="10"/>
  <c r="S130" i="10"/>
  <c r="AI129" i="10"/>
  <c r="AE129" i="10"/>
  <c r="AC129" i="10"/>
  <c r="AA129" i="10"/>
  <c r="Y129" i="10"/>
  <c r="W129" i="10"/>
  <c r="U129" i="10"/>
  <c r="S129" i="10"/>
  <c r="AI127" i="10"/>
  <c r="AC127" i="10"/>
  <c r="AA127" i="10"/>
  <c r="Y127" i="10"/>
  <c r="W127" i="10"/>
  <c r="U127" i="10"/>
  <c r="S127" i="10"/>
  <c r="AI126" i="10"/>
  <c r="AE126" i="10"/>
  <c r="AC126" i="10"/>
  <c r="AA126" i="10"/>
  <c r="Y126" i="10"/>
  <c r="W126" i="10"/>
  <c r="U126" i="10"/>
  <c r="S126" i="10"/>
  <c r="AI125" i="10"/>
  <c r="AE125" i="10"/>
  <c r="AC125" i="10"/>
  <c r="AA125" i="10"/>
  <c r="Y125" i="10"/>
  <c r="W125" i="10"/>
  <c r="U125" i="10"/>
  <c r="S125" i="10"/>
  <c r="AI124" i="10"/>
  <c r="AE124" i="10"/>
  <c r="AC124" i="10"/>
  <c r="AA124" i="10"/>
  <c r="Y124" i="10"/>
  <c r="W124" i="10"/>
  <c r="U124" i="10"/>
  <c r="S124" i="10"/>
  <c r="AI123" i="10"/>
  <c r="AE123" i="10"/>
  <c r="AC123" i="10"/>
  <c r="AA123" i="10"/>
  <c r="Y123" i="10"/>
  <c r="W123" i="10"/>
  <c r="U123" i="10"/>
  <c r="S123" i="10"/>
  <c r="N123" i="10"/>
  <c r="M123" i="10"/>
  <c r="K123" i="10"/>
  <c r="AI122" i="10"/>
  <c r="AE122" i="10"/>
  <c r="AC122" i="10"/>
  <c r="AA122" i="10"/>
  <c r="Y122" i="10"/>
  <c r="W122" i="10"/>
  <c r="U122" i="10"/>
  <c r="S122" i="10"/>
  <c r="AI121" i="10"/>
  <c r="AE121" i="10"/>
  <c r="AC121" i="10"/>
  <c r="AA121" i="10"/>
  <c r="Y121" i="10"/>
  <c r="W121" i="10"/>
  <c r="U121" i="10"/>
  <c r="S121" i="10"/>
  <c r="AI120" i="10"/>
  <c r="AE120" i="10"/>
  <c r="AC120" i="10"/>
  <c r="AA120" i="10"/>
  <c r="Y120" i="10"/>
  <c r="W120" i="10"/>
  <c r="U120" i="10"/>
  <c r="S120" i="10"/>
  <c r="AI119" i="10"/>
  <c r="AE119" i="10"/>
  <c r="AC119" i="10"/>
  <c r="AA119" i="10"/>
  <c r="Y119" i="10"/>
  <c r="W119" i="10"/>
  <c r="U119" i="10"/>
  <c r="S119" i="10"/>
  <c r="N119" i="10"/>
  <c r="M119" i="10"/>
  <c r="K119" i="10"/>
  <c r="AI118" i="10"/>
  <c r="AE118" i="10"/>
  <c r="AC118" i="10"/>
  <c r="AA118" i="10"/>
  <c r="Y118" i="10"/>
  <c r="W118" i="10"/>
  <c r="U118" i="10"/>
  <c r="S118" i="10"/>
  <c r="AI117" i="10"/>
  <c r="AE117" i="10"/>
  <c r="AC117" i="10"/>
  <c r="AA117" i="10"/>
  <c r="Y117" i="10"/>
  <c r="W117" i="10"/>
  <c r="U117" i="10"/>
  <c r="S117" i="10"/>
  <c r="AI116" i="10"/>
  <c r="AE116" i="10"/>
  <c r="AC116" i="10"/>
  <c r="AA116" i="10"/>
  <c r="Y116" i="10"/>
  <c r="W116" i="10"/>
  <c r="U116" i="10"/>
  <c r="S116" i="10"/>
  <c r="AI115" i="10"/>
  <c r="AE115" i="10"/>
  <c r="AC115" i="10"/>
  <c r="AA115" i="10"/>
  <c r="Y115" i="10"/>
  <c r="W115" i="10"/>
  <c r="U115" i="10"/>
  <c r="S115" i="10"/>
  <c r="N115" i="10"/>
  <c r="M115" i="10"/>
  <c r="K115" i="10"/>
  <c r="AI114" i="10"/>
  <c r="AE114" i="10"/>
  <c r="AC114" i="10"/>
  <c r="AA114" i="10"/>
  <c r="Y114" i="10"/>
  <c r="W114" i="10"/>
  <c r="U114" i="10"/>
  <c r="S114" i="10"/>
  <c r="AI113" i="10"/>
  <c r="AE113" i="10"/>
  <c r="AC113" i="10"/>
  <c r="AA113" i="10"/>
  <c r="Y113" i="10"/>
  <c r="W113" i="10"/>
  <c r="U113" i="10"/>
  <c r="S113" i="10"/>
  <c r="AI112" i="10"/>
  <c r="AE112" i="10"/>
  <c r="AC112" i="10"/>
  <c r="AA112" i="10"/>
  <c r="Y112" i="10"/>
  <c r="W112" i="10"/>
  <c r="U112" i="10"/>
  <c r="S112" i="10"/>
  <c r="AI111" i="10"/>
  <c r="AE111" i="10"/>
  <c r="AC111" i="10"/>
  <c r="AA111" i="10"/>
  <c r="Y111" i="10"/>
  <c r="W111" i="10"/>
  <c r="U111" i="10"/>
  <c r="S111" i="10"/>
  <c r="N111" i="10"/>
  <c r="M111" i="10"/>
  <c r="K111" i="10"/>
  <c r="AI110" i="10"/>
  <c r="AE110" i="10"/>
  <c r="AC110" i="10"/>
  <c r="AA110" i="10"/>
  <c r="Y110" i="10"/>
  <c r="W110" i="10"/>
  <c r="U110" i="10"/>
  <c r="S110" i="10"/>
  <c r="AI109" i="10"/>
  <c r="AE109" i="10"/>
  <c r="AC109" i="10"/>
  <c r="AA109" i="10"/>
  <c r="Y109" i="10"/>
  <c r="W109" i="10"/>
  <c r="U109" i="10"/>
  <c r="S109" i="10"/>
  <c r="AI108" i="10"/>
  <c r="AE108" i="10"/>
  <c r="AC108" i="10"/>
  <c r="AA108" i="10"/>
  <c r="Y108" i="10"/>
  <c r="W108" i="10"/>
  <c r="U108" i="10"/>
  <c r="S108" i="10"/>
  <c r="AI107" i="10"/>
  <c r="AE107" i="10"/>
  <c r="AC107" i="10"/>
  <c r="AA107" i="10"/>
  <c r="Y107" i="10"/>
  <c r="W107" i="10"/>
  <c r="U107" i="10"/>
  <c r="S107" i="10"/>
  <c r="N107" i="10"/>
  <c r="M107" i="10"/>
  <c r="K107" i="10"/>
  <c r="AI106" i="10"/>
  <c r="AE106" i="10"/>
  <c r="AC106" i="10"/>
  <c r="AA106" i="10"/>
  <c r="Y106" i="10"/>
  <c r="W106" i="10"/>
  <c r="U106" i="10"/>
  <c r="S106" i="10"/>
  <c r="AI105" i="10"/>
  <c r="AE105" i="10"/>
  <c r="AC105" i="10"/>
  <c r="AA105" i="10"/>
  <c r="Y105" i="10"/>
  <c r="W105" i="10"/>
  <c r="U105" i="10"/>
  <c r="S105" i="10"/>
  <c r="AI104" i="10"/>
  <c r="AE104" i="10"/>
  <c r="AC104" i="10"/>
  <c r="AA104" i="10"/>
  <c r="Y104" i="10"/>
  <c r="W104" i="10"/>
  <c r="U104" i="10"/>
  <c r="S104" i="10"/>
  <c r="AI103" i="10"/>
  <c r="AE103" i="10"/>
  <c r="AC103" i="10"/>
  <c r="AA103" i="10"/>
  <c r="Y103" i="10"/>
  <c r="W103" i="10"/>
  <c r="U103" i="10"/>
  <c r="S103" i="10"/>
  <c r="N103" i="10"/>
  <c r="M103" i="10"/>
  <c r="K103" i="10"/>
  <c r="AI102" i="10"/>
  <c r="AE102" i="10"/>
  <c r="AC102" i="10"/>
  <c r="AA102" i="10"/>
  <c r="Y102" i="10"/>
  <c r="W102" i="10"/>
  <c r="U102" i="10"/>
  <c r="S102" i="10"/>
  <c r="AI101" i="10"/>
  <c r="AE101" i="10"/>
  <c r="AC101" i="10"/>
  <c r="AA101" i="10"/>
  <c r="Y101" i="10"/>
  <c r="W101" i="10"/>
  <c r="U101" i="10"/>
  <c r="S101" i="10"/>
  <c r="AI100" i="10"/>
  <c r="AE100" i="10"/>
  <c r="AC100" i="10"/>
  <c r="AA100" i="10"/>
  <c r="Y100" i="10"/>
  <c r="W100" i="10"/>
  <c r="U100" i="10"/>
  <c r="S100" i="10"/>
  <c r="AI99" i="10"/>
  <c r="AE99" i="10"/>
  <c r="AC99" i="10"/>
  <c r="AA99" i="10"/>
  <c r="Y99" i="10"/>
  <c r="W99" i="10"/>
  <c r="U99" i="10"/>
  <c r="S99" i="10"/>
  <c r="N99" i="10"/>
  <c r="M99" i="10"/>
  <c r="K99" i="10"/>
  <c r="AI98" i="10"/>
  <c r="AE98" i="10"/>
  <c r="AC98" i="10"/>
  <c r="AA98" i="10"/>
  <c r="Y98" i="10"/>
  <c r="W98" i="10"/>
  <c r="U98" i="10"/>
  <c r="S98" i="10"/>
  <c r="AI97" i="10"/>
  <c r="AE97" i="10"/>
  <c r="AC97" i="10"/>
  <c r="AA97" i="10"/>
  <c r="Y97" i="10"/>
  <c r="W97" i="10"/>
  <c r="U97" i="10"/>
  <c r="S97" i="10"/>
  <c r="AI96" i="10"/>
  <c r="AE96" i="10"/>
  <c r="AC96" i="10"/>
  <c r="AA96" i="10"/>
  <c r="Y96" i="10"/>
  <c r="W96" i="10"/>
  <c r="U96" i="10"/>
  <c r="S96" i="10"/>
  <c r="AI95" i="10"/>
  <c r="AE95" i="10"/>
  <c r="AC95" i="10"/>
  <c r="AA95" i="10"/>
  <c r="Y95" i="10"/>
  <c r="W95" i="10"/>
  <c r="U95" i="10"/>
  <c r="S95" i="10"/>
  <c r="AI94" i="10"/>
  <c r="AE94" i="10"/>
  <c r="AC94" i="10"/>
  <c r="AA94" i="10"/>
  <c r="Y94" i="10"/>
  <c r="W94" i="10"/>
  <c r="U94" i="10"/>
  <c r="S94" i="10"/>
  <c r="AI93" i="10"/>
  <c r="AE93" i="10"/>
  <c r="AC93" i="10"/>
  <c r="AA93" i="10"/>
  <c r="Y93" i="10"/>
  <c r="W93" i="10"/>
  <c r="U93" i="10"/>
  <c r="S93" i="10"/>
  <c r="AI92" i="10"/>
  <c r="AE92" i="10"/>
  <c r="AC92" i="10"/>
  <c r="AA92" i="10"/>
  <c r="Y92" i="10"/>
  <c r="W92" i="10"/>
  <c r="U92" i="10"/>
  <c r="S92" i="10"/>
  <c r="AI91" i="10"/>
  <c r="AE91" i="10"/>
  <c r="AC91" i="10"/>
  <c r="AA91" i="10"/>
  <c r="Y91" i="10"/>
  <c r="W91" i="10"/>
  <c r="U91" i="10"/>
  <c r="S91" i="10"/>
  <c r="AI90" i="10"/>
  <c r="AE90" i="10"/>
  <c r="AC90" i="10"/>
  <c r="AA90" i="10"/>
  <c r="Y90" i="10"/>
  <c r="W90" i="10"/>
  <c r="U90" i="10"/>
  <c r="S90" i="10"/>
  <c r="AI89" i="10"/>
  <c r="AE89" i="10"/>
  <c r="AC89" i="10"/>
  <c r="AA89" i="10"/>
  <c r="Y89" i="10"/>
  <c r="W89" i="10"/>
  <c r="U89" i="10"/>
  <c r="S89" i="10"/>
  <c r="AI88" i="10"/>
  <c r="AE88" i="10"/>
  <c r="AC88" i="10"/>
  <c r="AA88" i="10"/>
  <c r="Y88" i="10"/>
  <c r="W88" i="10"/>
  <c r="U88" i="10"/>
  <c r="S88" i="10"/>
  <c r="AI87" i="10"/>
  <c r="AE87" i="10"/>
  <c r="AC87" i="10"/>
  <c r="AA87" i="10"/>
  <c r="Y87" i="10"/>
  <c r="W87" i="10"/>
  <c r="U87" i="10"/>
  <c r="S87" i="10"/>
  <c r="AI86" i="10"/>
  <c r="AE86" i="10"/>
  <c r="AC86" i="10"/>
  <c r="AA86" i="10"/>
  <c r="Y86" i="10"/>
  <c r="W86" i="10"/>
  <c r="U86" i="10"/>
  <c r="S86" i="10"/>
  <c r="AI85" i="10"/>
  <c r="AE85" i="10"/>
  <c r="AC85" i="10"/>
  <c r="AA85" i="10"/>
  <c r="Y85" i="10"/>
  <c r="W85" i="10"/>
  <c r="U85" i="10"/>
  <c r="S85" i="10"/>
  <c r="AI84" i="10"/>
  <c r="AE84" i="10"/>
  <c r="AC84" i="10"/>
  <c r="AA84" i="10"/>
  <c r="Y84" i="10"/>
  <c r="W84" i="10"/>
  <c r="U84" i="10"/>
  <c r="S84" i="10"/>
  <c r="AI83" i="10"/>
  <c r="AE83" i="10"/>
  <c r="AC83" i="10"/>
  <c r="AA83" i="10"/>
  <c r="Y83" i="10"/>
  <c r="W83" i="10"/>
  <c r="U83" i="10"/>
  <c r="S83" i="10"/>
  <c r="N83" i="10"/>
  <c r="M83" i="10"/>
  <c r="K83" i="10"/>
  <c r="AI82" i="10"/>
  <c r="AE82" i="10"/>
  <c r="AC82" i="10"/>
  <c r="AA82" i="10"/>
  <c r="Y82" i="10"/>
  <c r="W82" i="10"/>
  <c r="U82" i="10"/>
  <c r="S82" i="10"/>
  <c r="AI81" i="10"/>
  <c r="AE81" i="10"/>
  <c r="AC81" i="10"/>
  <c r="AA81" i="10"/>
  <c r="Y81" i="10"/>
  <c r="W81" i="10"/>
  <c r="U81" i="10"/>
  <c r="S81" i="10"/>
  <c r="AI80" i="10"/>
  <c r="AE80" i="10"/>
  <c r="AC80" i="10"/>
  <c r="AA80" i="10"/>
  <c r="Y80" i="10"/>
  <c r="W80" i="10"/>
  <c r="U80" i="10"/>
  <c r="S80" i="10"/>
  <c r="AI79" i="10"/>
  <c r="AE79" i="10"/>
  <c r="AC79" i="10"/>
  <c r="AA79" i="10"/>
  <c r="Y79" i="10"/>
  <c r="W79" i="10"/>
  <c r="U79" i="10"/>
  <c r="S79" i="10"/>
  <c r="N79" i="10"/>
  <c r="M79" i="10"/>
  <c r="K79" i="10"/>
  <c r="AI78" i="10"/>
  <c r="AE78" i="10"/>
  <c r="AC78" i="10"/>
  <c r="AA78" i="10"/>
  <c r="Y78" i="10"/>
  <c r="W78" i="10"/>
  <c r="U78" i="10"/>
  <c r="S78" i="10"/>
  <c r="AI77" i="10"/>
  <c r="AE77" i="10"/>
  <c r="AC77" i="10"/>
  <c r="AA77" i="10"/>
  <c r="Y77" i="10"/>
  <c r="W77" i="10"/>
  <c r="U77" i="10"/>
  <c r="S77" i="10"/>
  <c r="AI76" i="10"/>
  <c r="AE76" i="10"/>
  <c r="AC76" i="10"/>
  <c r="AA76" i="10"/>
  <c r="Y76" i="10"/>
  <c r="W76" i="10"/>
  <c r="U76" i="10"/>
  <c r="S76" i="10"/>
  <c r="AI75" i="10"/>
  <c r="AE75" i="10"/>
  <c r="AC75" i="10"/>
  <c r="AA75" i="10"/>
  <c r="Y75" i="10"/>
  <c r="W75" i="10"/>
  <c r="U75" i="10"/>
  <c r="S75" i="10"/>
  <c r="N75" i="10"/>
  <c r="M75" i="10"/>
  <c r="K75" i="10"/>
  <c r="AI74" i="10"/>
  <c r="AE74" i="10"/>
  <c r="AC74" i="10"/>
  <c r="AA74" i="10"/>
  <c r="Y74" i="10"/>
  <c r="W74" i="10"/>
  <c r="U74" i="10"/>
  <c r="S74" i="10"/>
  <c r="AI73" i="10"/>
  <c r="AE73" i="10"/>
  <c r="AC73" i="10"/>
  <c r="AA73" i="10"/>
  <c r="Y73" i="10"/>
  <c r="W73" i="10"/>
  <c r="U73" i="10"/>
  <c r="S73" i="10"/>
  <c r="AI72" i="10"/>
  <c r="AE72" i="10"/>
  <c r="AC72" i="10"/>
  <c r="AA72" i="10"/>
  <c r="Y72" i="10"/>
  <c r="W72" i="10"/>
  <c r="U72" i="10"/>
  <c r="S72" i="10"/>
  <c r="AI71" i="10"/>
  <c r="AE71" i="10"/>
  <c r="AC71" i="10"/>
  <c r="AA71" i="10"/>
  <c r="Y71" i="10"/>
  <c r="W71" i="10"/>
  <c r="U71" i="10"/>
  <c r="S71" i="10"/>
  <c r="N71" i="10"/>
  <c r="M71" i="10"/>
  <c r="K71" i="10"/>
  <c r="AI70" i="10"/>
  <c r="AE70" i="10"/>
  <c r="AC70" i="10"/>
  <c r="AA70" i="10"/>
  <c r="Y70" i="10"/>
  <c r="W70" i="10"/>
  <c r="U70" i="10"/>
  <c r="S70" i="10"/>
  <c r="AI69" i="10"/>
  <c r="AE69" i="10"/>
  <c r="AC69" i="10"/>
  <c r="AA69" i="10"/>
  <c r="Y69" i="10"/>
  <c r="W69" i="10"/>
  <c r="U69" i="10"/>
  <c r="S69" i="10"/>
  <c r="AI68" i="10"/>
  <c r="AE68" i="10"/>
  <c r="AC68" i="10"/>
  <c r="AA68" i="10"/>
  <c r="Y68" i="10"/>
  <c r="W68" i="10"/>
  <c r="U68" i="10"/>
  <c r="S68" i="10"/>
  <c r="AI67" i="10"/>
  <c r="AE67" i="10"/>
  <c r="AC67" i="10"/>
  <c r="AA67" i="10"/>
  <c r="Y67" i="10"/>
  <c r="W67" i="10"/>
  <c r="U67" i="10"/>
  <c r="S67" i="10"/>
  <c r="N67" i="10"/>
  <c r="M67" i="10"/>
  <c r="K67" i="10"/>
  <c r="AI66" i="10"/>
  <c r="AE66" i="10"/>
  <c r="AC66" i="10"/>
  <c r="AA66" i="10"/>
  <c r="Y66" i="10"/>
  <c r="W66" i="10"/>
  <c r="U66" i="10"/>
  <c r="S66" i="10"/>
  <c r="AI65" i="10"/>
  <c r="AE65" i="10"/>
  <c r="AC65" i="10"/>
  <c r="AA65" i="10"/>
  <c r="Y65" i="10"/>
  <c r="W65" i="10"/>
  <c r="U65" i="10"/>
  <c r="S65" i="10"/>
  <c r="AI64" i="10"/>
  <c r="AE64" i="10"/>
  <c r="AC64" i="10"/>
  <c r="AA64" i="10"/>
  <c r="Y64" i="10"/>
  <c r="W64" i="10"/>
  <c r="U64" i="10"/>
  <c r="S64" i="10"/>
  <c r="AI63" i="10"/>
  <c r="AE63" i="10"/>
  <c r="AC63" i="10"/>
  <c r="AA63" i="10"/>
  <c r="Y63" i="10"/>
  <c r="W63" i="10"/>
  <c r="U63" i="10"/>
  <c r="S63" i="10"/>
  <c r="N63" i="10"/>
  <c r="M63" i="10"/>
  <c r="K63" i="10"/>
  <c r="AI62" i="10"/>
  <c r="AE62" i="10"/>
  <c r="AC62" i="10"/>
  <c r="AA62" i="10"/>
  <c r="Y62" i="10"/>
  <c r="W62" i="10"/>
  <c r="U62" i="10"/>
  <c r="S62" i="10"/>
  <c r="AI61" i="10"/>
  <c r="AE61" i="10"/>
  <c r="AC61" i="10"/>
  <c r="AA61" i="10"/>
  <c r="Y61" i="10"/>
  <c r="W61" i="10"/>
  <c r="U61" i="10"/>
  <c r="S61" i="10"/>
  <c r="AI60" i="10"/>
  <c r="AE60" i="10"/>
  <c r="AC60" i="10"/>
  <c r="AA60" i="10"/>
  <c r="Y60" i="10"/>
  <c r="W60" i="10"/>
  <c r="U60" i="10"/>
  <c r="S60" i="10"/>
  <c r="AI59" i="10"/>
  <c r="AE59" i="10"/>
  <c r="AC59" i="10"/>
  <c r="AA59" i="10"/>
  <c r="Y59" i="10"/>
  <c r="W59" i="10"/>
  <c r="U59" i="10"/>
  <c r="S59" i="10"/>
  <c r="N59" i="10"/>
  <c r="M59" i="10"/>
  <c r="K59" i="10"/>
  <c r="AI58" i="10"/>
  <c r="AE58" i="10"/>
  <c r="AC58" i="10"/>
  <c r="AA58" i="10"/>
  <c r="Y58" i="10"/>
  <c r="W58" i="10"/>
  <c r="U58" i="10"/>
  <c r="S58" i="10"/>
  <c r="AI57" i="10"/>
  <c r="AE57" i="10"/>
  <c r="AC57" i="10"/>
  <c r="AA57" i="10"/>
  <c r="Y57" i="10"/>
  <c r="W57" i="10"/>
  <c r="U57" i="10"/>
  <c r="S57" i="10"/>
  <c r="AI56" i="10"/>
  <c r="AE56" i="10"/>
  <c r="AC56" i="10"/>
  <c r="AA56" i="10"/>
  <c r="Y56" i="10"/>
  <c r="W56" i="10"/>
  <c r="U56" i="10"/>
  <c r="S56" i="10"/>
  <c r="AI55" i="10"/>
  <c r="AE55" i="10"/>
  <c r="AC55" i="10"/>
  <c r="AA55" i="10"/>
  <c r="Y55" i="10"/>
  <c r="W55" i="10"/>
  <c r="U55" i="10"/>
  <c r="S55" i="10"/>
  <c r="N55" i="10"/>
  <c r="M55" i="10"/>
  <c r="K55" i="10"/>
  <c r="AI54" i="10"/>
  <c r="AE54" i="10"/>
  <c r="AC54" i="10"/>
  <c r="AA54" i="10"/>
  <c r="Y54" i="10"/>
  <c r="W54" i="10"/>
  <c r="U54" i="10"/>
  <c r="S54" i="10"/>
  <c r="AI53" i="10"/>
  <c r="AE53" i="10"/>
  <c r="AC53" i="10"/>
  <c r="AA53" i="10"/>
  <c r="Y53" i="10"/>
  <c r="W53" i="10"/>
  <c r="U53" i="10"/>
  <c r="S53" i="10"/>
  <c r="AI52" i="10"/>
  <c r="AE52" i="10"/>
  <c r="AC52" i="10"/>
  <c r="AA52" i="10"/>
  <c r="Y52" i="10"/>
  <c r="W52" i="10"/>
  <c r="U52" i="10"/>
  <c r="S52" i="10"/>
  <c r="AI51" i="10"/>
  <c r="AE51" i="10"/>
  <c r="AC51" i="10"/>
  <c r="AA51" i="10"/>
  <c r="Y51" i="10"/>
  <c r="W51" i="10"/>
  <c r="U51" i="10"/>
  <c r="S51" i="10"/>
  <c r="N51" i="10"/>
  <c r="M51" i="10"/>
  <c r="K51" i="10"/>
  <c r="AI50" i="10"/>
  <c r="AE50" i="10"/>
  <c r="AC50" i="10"/>
  <c r="AA50" i="10"/>
  <c r="Y50" i="10"/>
  <c r="W50" i="10"/>
  <c r="U50" i="10"/>
  <c r="S50" i="10"/>
  <c r="AI49" i="10"/>
  <c r="AE49" i="10"/>
  <c r="AC49" i="10"/>
  <c r="AA49" i="10"/>
  <c r="Y49" i="10"/>
  <c r="W49" i="10"/>
  <c r="U49" i="10"/>
  <c r="S49" i="10"/>
  <c r="AI48" i="10"/>
  <c r="AE48" i="10"/>
  <c r="AC48" i="10"/>
  <c r="AA48" i="10"/>
  <c r="Y48" i="10"/>
  <c r="W48" i="10"/>
  <c r="U48" i="10"/>
  <c r="S48" i="10"/>
  <c r="AI47" i="10"/>
  <c r="AE47" i="10"/>
  <c r="AC47" i="10"/>
  <c r="AA47" i="10"/>
  <c r="Y47" i="10"/>
  <c r="W47" i="10"/>
  <c r="U47" i="10"/>
  <c r="S47" i="10"/>
  <c r="N47" i="10"/>
  <c r="M47" i="10"/>
  <c r="K47" i="10"/>
  <c r="AI46" i="10"/>
  <c r="AE46" i="10"/>
  <c r="AC46" i="10"/>
  <c r="AA46" i="10"/>
  <c r="Y46" i="10"/>
  <c r="W46" i="10"/>
  <c r="U46" i="10"/>
  <c r="S46" i="10"/>
  <c r="AI45" i="10"/>
  <c r="AE45" i="10"/>
  <c r="AC45" i="10"/>
  <c r="AA45" i="10"/>
  <c r="Y45" i="10"/>
  <c r="W45" i="10"/>
  <c r="U45" i="10"/>
  <c r="S45" i="10"/>
  <c r="AI44" i="10"/>
  <c r="AE44" i="10"/>
  <c r="AC44" i="10"/>
  <c r="AA44" i="10"/>
  <c r="Y44" i="10"/>
  <c r="W44" i="10"/>
  <c r="U44" i="10"/>
  <c r="S44" i="10"/>
  <c r="AI43" i="10"/>
  <c r="AE43" i="10"/>
  <c r="AC43" i="10"/>
  <c r="AA43" i="10"/>
  <c r="Y43" i="10"/>
  <c r="W43" i="10"/>
  <c r="U43" i="10"/>
  <c r="S43" i="10"/>
  <c r="N43" i="10"/>
  <c r="M43" i="10"/>
  <c r="K43" i="10"/>
  <c r="AI42" i="10"/>
  <c r="AE42" i="10"/>
  <c r="AC42" i="10"/>
  <c r="AA42" i="10"/>
  <c r="Y42" i="10"/>
  <c r="W42" i="10"/>
  <c r="U42" i="10"/>
  <c r="S42" i="10"/>
  <c r="AI41" i="10"/>
  <c r="AE41" i="10"/>
  <c r="AC41" i="10"/>
  <c r="AA41" i="10"/>
  <c r="Y41" i="10"/>
  <c r="W41" i="10"/>
  <c r="U41" i="10"/>
  <c r="S41" i="10"/>
  <c r="AI40" i="10"/>
  <c r="AE40" i="10"/>
  <c r="AC40" i="10"/>
  <c r="AA40" i="10"/>
  <c r="Y40" i="10"/>
  <c r="W40" i="10"/>
  <c r="U40" i="10"/>
  <c r="S40" i="10"/>
  <c r="AI39" i="10"/>
  <c r="AE39" i="10"/>
  <c r="AC39" i="10"/>
  <c r="AA39" i="10"/>
  <c r="Y39" i="10"/>
  <c r="W39" i="10"/>
  <c r="U39" i="10"/>
  <c r="S39" i="10"/>
  <c r="N39" i="10"/>
  <c r="M39" i="10"/>
  <c r="K39" i="10"/>
  <c r="AI38" i="10"/>
  <c r="AE38" i="10"/>
  <c r="AC38" i="10"/>
  <c r="AA38" i="10"/>
  <c r="Y38" i="10"/>
  <c r="W38" i="10"/>
  <c r="U38" i="10"/>
  <c r="S38" i="10"/>
  <c r="AI37" i="10"/>
  <c r="AE37" i="10"/>
  <c r="AC37" i="10"/>
  <c r="AA37" i="10"/>
  <c r="Y37" i="10"/>
  <c r="W37" i="10"/>
  <c r="U37" i="10"/>
  <c r="S37" i="10"/>
  <c r="AI36" i="10"/>
  <c r="AE36" i="10"/>
  <c r="AC36" i="10"/>
  <c r="AA36" i="10"/>
  <c r="Y36" i="10"/>
  <c r="W36" i="10"/>
  <c r="U36" i="10"/>
  <c r="S36" i="10"/>
  <c r="AI35" i="10"/>
  <c r="AE35" i="10"/>
  <c r="AC35" i="10"/>
  <c r="AA35" i="10"/>
  <c r="Y35" i="10"/>
  <c r="W35" i="10"/>
  <c r="U35" i="10"/>
  <c r="S35" i="10"/>
  <c r="N35" i="10"/>
  <c r="M35" i="10"/>
  <c r="K35" i="10"/>
  <c r="AI32" i="10"/>
  <c r="AE32" i="10"/>
  <c r="AC32" i="10"/>
  <c r="AA32" i="10"/>
  <c r="Y32" i="10"/>
  <c r="W32" i="10"/>
  <c r="U32" i="10"/>
  <c r="S32" i="10"/>
  <c r="AI31" i="10"/>
  <c r="AE31" i="10"/>
  <c r="AC31" i="10"/>
  <c r="AA31" i="10"/>
  <c r="Y31" i="10"/>
  <c r="W31" i="10"/>
  <c r="U31" i="10"/>
  <c r="S31" i="10"/>
  <c r="N31" i="10"/>
  <c r="M31" i="10"/>
  <c r="K31" i="10"/>
  <c r="AI30" i="10"/>
  <c r="AE30" i="10"/>
  <c r="AC30" i="10"/>
  <c r="AA30" i="10"/>
  <c r="Y30" i="10"/>
  <c r="W30" i="10"/>
  <c r="U30" i="10"/>
  <c r="S30" i="10"/>
  <c r="AI28" i="10"/>
  <c r="AE28" i="10"/>
  <c r="AC28" i="10"/>
  <c r="AA28" i="10"/>
  <c r="Y28" i="10"/>
  <c r="W28" i="10"/>
  <c r="U28" i="10"/>
  <c r="S28" i="10"/>
  <c r="AI27" i="10"/>
  <c r="AE27" i="10"/>
  <c r="AC27" i="10"/>
  <c r="AA27" i="10"/>
  <c r="Y27" i="10"/>
  <c r="W27" i="10"/>
  <c r="U27" i="10"/>
  <c r="S27" i="10"/>
  <c r="N27" i="10"/>
  <c r="M27" i="10"/>
  <c r="K27" i="10"/>
  <c r="AI26" i="10"/>
  <c r="AE26" i="10"/>
  <c r="AC26" i="10"/>
  <c r="AA26" i="10"/>
  <c r="Y26" i="10"/>
  <c r="W26" i="10"/>
  <c r="U26" i="10"/>
  <c r="S26" i="10"/>
  <c r="AI25" i="10"/>
  <c r="AE25" i="10"/>
  <c r="AC25" i="10"/>
  <c r="AA25" i="10"/>
  <c r="Y25" i="10"/>
  <c r="W25" i="10"/>
  <c r="U25" i="10"/>
  <c r="S25" i="10"/>
  <c r="AI24" i="10"/>
  <c r="AE24" i="10"/>
  <c r="AC24" i="10"/>
  <c r="AA24" i="10"/>
  <c r="Y24" i="10"/>
  <c r="W24" i="10"/>
  <c r="U24" i="10"/>
  <c r="S24" i="10"/>
  <c r="AI23" i="10"/>
  <c r="AE23" i="10"/>
  <c r="AC23" i="10"/>
  <c r="AA23" i="10"/>
  <c r="Y23" i="10"/>
  <c r="W23" i="10"/>
  <c r="U23" i="10"/>
  <c r="S23" i="10"/>
  <c r="N23" i="10"/>
  <c r="M23" i="10"/>
  <c r="K23" i="10"/>
  <c r="AI22" i="10"/>
  <c r="AE22" i="10"/>
  <c r="AC22" i="10"/>
  <c r="AA22" i="10"/>
  <c r="Y22" i="10"/>
  <c r="W22" i="10"/>
  <c r="U22" i="10"/>
  <c r="S22" i="10"/>
  <c r="AI18" i="10"/>
  <c r="AE18" i="10"/>
  <c r="AC18" i="10"/>
  <c r="AA18" i="10"/>
  <c r="Y18" i="10"/>
  <c r="W18" i="10"/>
  <c r="U18" i="10"/>
  <c r="S18" i="10"/>
  <c r="AI17" i="10"/>
  <c r="AE17" i="10"/>
  <c r="AC17" i="10"/>
  <c r="AA17" i="10"/>
  <c r="Y17" i="10"/>
  <c r="W17" i="10"/>
  <c r="U17" i="10"/>
  <c r="S17" i="10"/>
  <c r="AI16" i="10"/>
  <c r="AE16" i="10"/>
  <c r="AC16" i="10"/>
  <c r="AA16" i="10"/>
  <c r="Y16" i="10"/>
  <c r="W16" i="10"/>
  <c r="U16" i="10"/>
  <c r="S16" i="10"/>
  <c r="N16" i="10"/>
  <c r="M16" i="10"/>
  <c r="K16" i="10"/>
  <c r="AI13" i="10"/>
  <c r="AE13" i="10"/>
  <c r="AC13" i="10"/>
  <c r="AA13" i="10"/>
  <c r="Y13" i="10"/>
  <c r="W13" i="10"/>
  <c r="U13" i="10"/>
  <c r="S13" i="10"/>
  <c r="AI11" i="10"/>
  <c r="AE11" i="10"/>
  <c r="AC11" i="10"/>
  <c r="AA11" i="10"/>
  <c r="Y11" i="10"/>
  <c r="W11" i="10"/>
  <c r="U11" i="10"/>
  <c r="S11" i="10"/>
  <c r="N11" i="10"/>
  <c r="M11" i="10"/>
  <c r="K11" i="10"/>
  <c r="AI8" i="10"/>
  <c r="AI9" i="10"/>
  <c r="AI10" i="10"/>
  <c r="AI7" i="10"/>
  <c r="AE8" i="10"/>
  <c r="AE9" i="10"/>
  <c r="AE10" i="10"/>
  <c r="AC8" i="10"/>
  <c r="AC9" i="10"/>
  <c r="AC10" i="10"/>
  <c r="AA8" i="10"/>
  <c r="AA9" i="10"/>
  <c r="AA10" i="10"/>
  <c r="Y8" i="10"/>
  <c r="Y9" i="10"/>
  <c r="Y10" i="10"/>
  <c r="W8" i="10"/>
  <c r="W9" i="10"/>
  <c r="W10" i="10"/>
  <c r="U8" i="10"/>
  <c r="U9" i="10"/>
  <c r="U10" i="10"/>
  <c r="S8" i="10"/>
  <c r="S9" i="10"/>
  <c r="S10" i="10"/>
  <c r="AE7" i="10"/>
  <c r="AC7" i="10"/>
  <c r="AA7" i="10"/>
  <c r="Y7" i="10"/>
  <c r="W7" i="10"/>
  <c r="S7" i="10"/>
  <c r="M7" i="10"/>
  <c r="K7" i="10"/>
  <c r="N7" i="10"/>
  <c r="AU8" i="12"/>
  <c r="AU9" i="12"/>
  <c r="AU10" i="12"/>
  <c r="AU11" i="12"/>
  <c r="AU12" i="12"/>
  <c r="AU13" i="12"/>
  <c r="AU14" i="12"/>
  <c r="AU15" i="12"/>
  <c r="AU16" i="12"/>
  <c r="AU17" i="12"/>
  <c r="AU18" i="12"/>
  <c r="AU19" i="12"/>
  <c r="AU20" i="12"/>
  <c r="AU21" i="12"/>
  <c r="AU22" i="12"/>
  <c r="AU23" i="12"/>
  <c r="AU24" i="12"/>
  <c r="AU25" i="12"/>
  <c r="AU26" i="12"/>
  <c r="AU27" i="12"/>
  <c r="AU28" i="12"/>
  <c r="AU29" i="12"/>
  <c r="AU30" i="12"/>
  <c r="AU31" i="12"/>
  <c r="AU32" i="12"/>
  <c r="AU33" i="12"/>
  <c r="AU34" i="12"/>
  <c r="AU35" i="12"/>
  <c r="AU36" i="12"/>
  <c r="AU37" i="12"/>
  <c r="AU38" i="12"/>
  <c r="AU39" i="12"/>
  <c r="AU40" i="12"/>
  <c r="AU41" i="12"/>
  <c r="AU42" i="12"/>
  <c r="AU43" i="12"/>
  <c r="AU44" i="12"/>
  <c r="AU45" i="12"/>
  <c r="AU46" i="12"/>
  <c r="AU47" i="12"/>
  <c r="AU48" i="12"/>
  <c r="AU49" i="12"/>
  <c r="AU50" i="12"/>
  <c r="AU51" i="12"/>
  <c r="AU52" i="12"/>
  <c r="AU53" i="12"/>
  <c r="AU54" i="12"/>
  <c r="AU55" i="12"/>
  <c r="AU56" i="12"/>
  <c r="AU57" i="12"/>
  <c r="AU58" i="12"/>
  <c r="AU59" i="12"/>
  <c r="AU60" i="12"/>
  <c r="AU61" i="12"/>
  <c r="AU62" i="12"/>
  <c r="AU63" i="12"/>
  <c r="AU64" i="12"/>
  <c r="AU65" i="12"/>
  <c r="AU66" i="12"/>
  <c r="AU67" i="12"/>
  <c r="AU68" i="12"/>
  <c r="AU69" i="12"/>
  <c r="AU70" i="12"/>
  <c r="AU71" i="12"/>
  <c r="AU72" i="12"/>
  <c r="AU73" i="12"/>
  <c r="AU74" i="12"/>
  <c r="AU75" i="12"/>
  <c r="AU76" i="12"/>
  <c r="AU77" i="12"/>
  <c r="AU78" i="12"/>
  <c r="AU79" i="12"/>
  <c r="AU80" i="12"/>
  <c r="AU81" i="12"/>
  <c r="AU82" i="12"/>
  <c r="AU83" i="12"/>
  <c r="AU84" i="12"/>
  <c r="AU85" i="12"/>
  <c r="AU86" i="12"/>
  <c r="AU87" i="12"/>
  <c r="AU88" i="12"/>
  <c r="AU89" i="12"/>
  <c r="AU90" i="12"/>
  <c r="AU91" i="12"/>
  <c r="AU92" i="12"/>
  <c r="AU93" i="12"/>
  <c r="AU94" i="12"/>
  <c r="AU95" i="12"/>
  <c r="AU96" i="12"/>
  <c r="AU97" i="12"/>
  <c r="AU98" i="12"/>
  <c r="AU99" i="12"/>
  <c r="AU100" i="12"/>
  <c r="AU101" i="12"/>
  <c r="AU102" i="12"/>
  <c r="AU103" i="12"/>
  <c r="AU104" i="12"/>
  <c r="AU105" i="12"/>
  <c r="AU106" i="12"/>
  <c r="AU107" i="12"/>
  <c r="AU108" i="12"/>
  <c r="AU109" i="12"/>
  <c r="AU110" i="12"/>
  <c r="AU111" i="12"/>
  <c r="AU112" i="12"/>
  <c r="AU113" i="12"/>
  <c r="AU114" i="12"/>
  <c r="AU115" i="12"/>
  <c r="AU116" i="12"/>
  <c r="AU117" i="12"/>
  <c r="AU118" i="12"/>
  <c r="AU119" i="12"/>
  <c r="AU120" i="12"/>
  <c r="AU121" i="12"/>
  <c r="AU122" i="12"/>
  <c r="AU123" i="12"/>
  <c r="AU124" i="12"/>
  <c r="AU125" i="12"/>
  <c r="AU126" i="12"/>
  <c r="AU7" i="12"/>
  <c r="AF171" i="10" l="1"/>
  <c r="AF118" i="10"/>
  <c r="AG118" i="10" s="1"/>
  <c r="AF192" i="10"/>
  <c r="AF193" i="10"/>
  <c r="AF194" i="10"/>
  <c r="AG194" i="10" s="1"/>
  <c r="AF188" i="10"/>
  <c r="AG188" i="10" s="1"/>
  <c r="AF189" i="10"/>
  <c r="AG189" i="10" s="1"/>
  <c r="AF190" i="10"/>
  <c r="AG190" i="10" s="1"/>
  <c r="AF191" i="10"/>
  <c r="AG191" i="10" s="1"/>
  <c r="AG171" i="10"/>
  <c r="AF117" i="10"/>
  <c r="AG117" i="10" s="1"/>
  <c r="AQ22" i="10"/>
  <c r="AQ19" i="10"/>
  <c r="AF174" i="10"/>
  <c r="AG174" i="10" s="1"/>
  <c r="AF30" i="10"/>
  <c r="AG30" i="10" s="1"/>
  <c r="AF35" i="10"/>
  <c r="AG35" i="10" s="1"/>
  <c r="AF46" i="10"/>
  <c r="AG46" i="10" s="1"/>
  <c r="AF181" i="10"/>
  <c r="AG181" i="10" s="1"/>
  <c r="AF195" i="10"/>
  <c r="AG195" i="10" s="1"/>
  <c r="AF197" i="10"/>
  <c r="AG197" i="10" s="1"/>
  <c r="AF202" i="10"/>
  <c r="AG202" i="10" s="1"/>
  <c r="AF231" i="10"/>
  <c r="AG231" i="10" s="1"/>
  <c r="AF37" i="10"/>
  <c r="AG37" i="10" s="1"/>
  <c r="AF57" i="10"/>
  <c r="AG57" i="10" s="1"/>
  <c r="AF82" i="10"/>
  <c r="AG82" i="10" s="1"/>
  <c r="AF90" i="10"/>
  <c r="AG90" i="10" s="1"/>
  <c r="AF125" i="10"/>
  <c r="AG125" i="10" s="1"/>
  <c r="AF145" i="10"/>
  <c r="AG145" i="10" s="1"/>
  <c r="AF234" i="10"/>
  <c r="AG234" i="10" s="1"/>
  <c r="AF98" i="10"/>
  <c r="AG98" i="10" s="1"/>
  <c r="AF200" i="10"/>
  <c r="AG200" i="10" s="1"/>
  <c r="AF206" i="10"/>
  <c r="AG206" i="10" s="1"/>
  <c r="AF80" i="10"/>
  <c r="AG80" i="10" s="1"/>
  <c r="AF132" i="10"/>
  <c r="AG132" i="10" s="1"/>
  <c r="AF53" i="10"/>
  <c r="AG53" i="10" s="1"/>
  <c r="AF65" i="10"/>
  <c r="AG65" i="10" s="1"/>
  <c r="AF81" i="10"/>
  <c r="AG81" i="10" s="1"/>
  <c r="AF95" i="10"/>
  <c r="AG95" i="10" s="1"/>
  <c r="AF108" i="10"/>
  <c r="AG108" i="10" s="1"/>
  <c r="AF110" i="10"/>
  <c r="AG110" i="10" s="1"/>
  <c r="AF124" i="10"/>
  <c r="AG124" i="10" s="1"/>
  <c r="AF143" i="10"/>
  <c r="AG143" i="10" s="1"/>
  <c r="AF155" i="10"/>
  <c r="AG155" i="10" s="1"/>
  <c r="AF158" i="10"/>
  <c r="AG158" i="10" s="1"/>
  <c r="AF179" i="10"/>
  <c r="AG179" i="10" s="1"/>
  <c r="AF209" i="10"/>
  <c r="AG209" i="10" s="1"/>
  <c r="AF109" i="10"/>
  <c r="AG109" i="10" s="1"/>
  <c r="AF152" i="10"/>
  <c r="AG152" i="10" s="1"/>
  <c r="AF23" i="10"/>
  <c r="AG23" i="10" s="1"/>
  <c r="AF85" i="10"/>
  <c r="AG85" i="10" s="1"/>
  <c r="AF120" i="10"/>
  <c r="AG120" i="10" s="1"/>
  <c r="AF11" i="10"/>
  <c r="AG11" i="10" s="1"/>
  <c r="AF36" i="10"/>
  <c r="AG36" i="10" s="1"/>
  <c r="AF44" i="10"/>
  <c r="AG44" i="10" s="1"/>
  <c r="AF50" i="10"/>
  <c r="AG50" i="10" s="1"/>
  <c r="AF60" i="10"/>
  <c r="AG60" i="10" s="1"/>
  <c r="AF73" i="10"/>
  <c r="AG73" i="10" s="1"/>
  <c r="AF87" i="10"/>
  <c r="AG87" i="10" s="1"/>
  <c r="AF103" i="10"/>
  <c r="AG103" i="10" s="1"/>
  <c r="AF116" i="10"/>
  <c r="AG116" i="10" s="1"/>
  <c r="AF162" i="10"/>
  <c r="AG162" i="10" s="1"/>
  <c r="AF215" i="10"/>
  <c r="AG215" i="10" s="1"/>
  <c r="AF221" i="10"/>
  <c r="AG221" i="10" s="1"/>
  <c r="AF227" i="10"/>
  <c r="AG227" i="10" s="1"/>
  <c r="AF151" i="10"/>
  <c r="AG151" i="10" s="1"/>
  <c r="AF223" i="10"/>
  <c r="AG223" i="10" s="1"/>
  <c r="AF235" i="10"/>
  <c r="AG235" i="10" s="1"/>
  <c r="AF8" i="10"/>
  <c r="AF27" i="10"/>
  <c r="AG27" i="10" s="1"/>
  <c r="AF83" i="10"/>
  <c r="AG83" i="10" s="1"/>
  <c r="AF101" i="10"/>
  <c r="AG101" i="10" s="1"/>
  <c r="AF137" i="10"/>
  <c r="AG137" i="10" s="1"/>
  <c r="AF154" i="10"/>
  <c r="AG154" i="10" s="1"/>
  <c r="AF165" i="10"/>
  <c r="AG165" i="10" s="1"/>
  <c r="AF166" i="10"/>
  <c r="AG166" i="10" s="1"/>
  <c r="AF201" i="10"/>
  <c r="AG201" i="10" s="1"/>
  <c r="AF230" i="10"/>
  <c r="AG230" i="10" s="1"/>
  <c r="AF16" i="10"/>
  <c r="AG16" i="10" s="1"/>
  <c r="AF51" i="10"/>
  <c r="AG51" i="10" s="1"/>
  <c r="AF71" i="10"/>
  <c r="AG71" i="10" s="1"/>
  <c r="AF161" i="10"/>
  <c r="AG161" i="10" s="1"/>
  <c r="AF173" i="10"/>
  <c r="AG173" i="10" s="1"/>
  <c r="AF183" i="10"/>
  <c r="AG183" i="10" s="1"/>
  <c r="AG192" i="10"/>
  <c r="AF210" i="10"/>
  <c r="AG210" i="10" s="1"/>
  <c r="AF218" i="10"/>
  <c r="AG218" i="10" s="1"/>
  <c r="AF220" i="10"/>
  <c r="AG220" i="10" s="1"/>
  <c r="AF72" i="10"/>
  <c r="AG72" i="10" s="1"/>
  <c r="AF93" i="10"/>
  <c r="AG93" i="10" s="1"/>
  <c r="AF32" i="10"/>
  <c r="AG32" i="10" s="1"/>
  <c r="AF56" i="10"/>
  <c r="AG56" i="10" s="1"/>
  <c r="AF62" i="10"/>
  <c r="AG62" i="10" s="1"/>
  <c r="AF107" i="10"/>
  <c r="AG107" i="10" s="1"/>
  <c r="AF144" i="10"/>
  <c r="AG144" i="10" s="1"/>
  <c r="AF172" i="10"/>
  <c r="AG172" i="10" s="1"/>
  <c r="AF225" i="10"/>
  <c r="AG225" i="10" s="1"/>
  <c r="AF13" i="10"/>
  <c r="AG13" i="10" s="1"/>
  <c r="AF79" i="10"/>
  <c r="AG79" i="10" s="1"/>
  <c r="AF86" i="10"/>
  <c r="AG86" i="10" s="1"/>
  <c r="AF89" i="10"/>
  <c r="AG89" i="10" s="1"/>
  <c r="AF92" i="10"/>
  <c r="AG92" i="10" s="1"/>
  <c r="AF113" i="10"/>
  <c r="AG113" i="10" s="1"/>
  <c r="AF129" i="10"/>
  <c r="AG129" i="10" s="1"/>
  <c r="AF136" i="10"/>
  <c r="AG136" i="10" s="1"/>
  <c r="AF10" i="10"/>
  <c r="AF41" i="10"/>
  <c r="AG41" i="10" s="1"/>
  <c r="AF54" i="10"/>
  <c r="AG54" i="10" s="1"/>
  <c r="AF63" i="10"/>
  <c r="AG63" i="10" s="1"/>
  <c r="AF78" i="10"/>
  <c r="AG78" i="10" s="1"/>
  <c r="AF112" i="10"/>
  <c r="AG112" i="10" s="1"/>
  <c r="AF115" i="10"/>
  <c r="AG115" i="10" s="1"/>
  <c r="AF142" i="10"/>
  <c r="AG142" i="10" s="1"/>
  <c r="AF146" i="10"/>
  <c r="AG146" i="10" s="1"/>
  <c r="AF153" i="10"/>
  <c r="AG153" i="10" s="1"/>
  <c r="AF180" i="10"/>
  <c r="AG180" i="10" s="1"/>
  <c r="AF228" i="10"/>
  <c r="AG228" i="10" s="1"/>
  <c r="AF48" i="10"/>
  <c r="AG48" i="10" s="1"/>
  <c r="AF77" i="10"/>
  <c r="AG77" i="10" s="1"/>
  <c r="AF91" i="10"/>
  <c r="AG91" i="10" s="1"/>
  <c r="AF96" i="10"/>
  <c r="AG96" i="10" s="1"/>
  <c r="AF97" i="10"/>
  <c r="AG97" i="10" s="1"/>
  <c r="AF99" i="10"/>
  <c r="AG99" i="10" s="1"/>
  <c r="AF138" i="10"/>
  <c r="AG138" i="10" s="1"/>
  <c r="AF150" i="10"/>
  <c r="AG150" i="10" s="1"/>
  <c r="AF157" i="10"/>
  <c r="AG157" i="10" s="1"/>
  <c r="AF160" i="10"/>
  <c r="AG160" i="10" s="1"/>
  <c r="AF178" i="10"/>
  <c r="AG178" i="10" s="1"/>
  <c r="AF182" i="10"/>
  <c r="AG182" i="10" s="1"/>
  <c r="AF186" i="10"/>
  <c r="AG186" i="10" s="1"/>
  <c r="AF224" i="10"/>
  <c r="AG224" i="10" s="1"/>
  <c r="AF39" i="10"/>
  <c r="AG39" i="10" s="1"/>
  <c r="AF232" i="10"/>
  <c r="AG232" i="10" s="1"/>
  <c r="AF76" i="10"/>
  <c r="AG76" i="10" s="1"/>
  <c r="AF66" i="10"/>
  <c r="AG66" i="10" s="1"/>
  <c r="AF84" i="10"/>
  <c r="AG84" i="10" s="1"/>
  <c r="AF88" i="10"/>
  <c r="AG88" i="10" s="1"/>
  <c r="AF94" i="10"/>
  <c r="AG94" i="10" s="1"/>
  <c r="AF104" i="10"/>
  <c r="AG104" i="10" s="1"/>
  <c r="AF105" i="10"/>
  <c r="AG105" i="10" s="1"/>
  <c r="AF149" i="10"/>
  <c r="AG149" i="10" s="1"/>
  <c r="AF185" i="10"/>
  <c r="AG185" i="10" s="1"/>
  <c r="AF222" i="10"/>
  <c r="AG222" i="10" s="1"/>
  <c r="AF229" i="10"/>
  <c r="AG229" i="10" s="1"/>
  <c r="AF25" i="10"/>
  <c r="AG25" i="10" s="1"/>
  <c r="AF28" i="10"/>
  <c r="AG28" i="10" s="1"/>
  <c r="AF17" i="10"/>
  <c r="AG17" i="10" s="1"/>
  <c r="AF74" i="10"/>
  <c r="AG74" i="10" s="1"/>
  <c r="AF70" i="10"/>
  <c r="AG70" i="10" s="1"/>
  <c r="AF75" i="10"/>
  <c r="AG75" i="10" s="1"/>
  <c r="AF69" i="10"/>
  <c r="AG69" i="10" s="1"/>
  <c r="AF68" i="10"/>
  <c r="AG68" i="10" s="1"/>
  <c r="AF45" i="10"/>
  <c r="AG45" i="10" s="1"/>
  <c r="AF52" i="10"/>
  <c r="AG52" i="10" s="1"/>
  <c r="AF55" i="10"/>
  <c r="AG55" i="10" s="1"/>
  <c r="AF64" i="10"/>
  <c r="AG64" i="10" s="1"/>
  <c r="AF38" i="10"/>
  <c r="AG38" i="10" s="1"/>
  <c r="AF42" i="10"/>
  <c r="AG42" i="10" s="1"/>
  <c r="AF43" i="10"/>
  <c r="AG43" i="10" s="1"/>
  <c r="AF49" i="10"/>
  <c r="AG49" i="10" s="1"/>
  <c r="AF59" i="10"/>
  <c r="AG59" i="10" s="1"/>
  <c r="AF61" i="10"/>
  <c r="AG61" i="10" s="1"/>
  <c r="AF67" i="10"/>
  <c r="AG67" i="10" s="1"/>
  <c r="AF58" i="10"/>
  <c r="AG58" i="10" s="1"/>
  <c r="AF40" i="10"/>
  <c r="AG40" i="10" s="1"/>
  <c r="AG14" i="10"/>
  <c r="AF47" i="10"/>
  <c r="AG47" i="10" s="1"/>
  <c r="AF26" i="10"/>
  <c r="AG26" i="10" s="1"/>
  <c r="AF31" i="10"/>
  <c r="AG31" i="10" s="1"/>
  <c r="AF18" i="10"/>
  <c r="AG18" i="10" s="1"/>
  <c r="AF22" i="10"/>
  <c r="AG22" i="10" s="1"/>
  <c r="AF24" i="10"/>
  <c r="AG24" i="10" s="1"/>
  <c r="AF106" i="10"/>
  <c r="AG106" i="10" s="1"/>
  <c r="AF130" i="10"/>
  <c r="AG130" i="10" s="1"/>
  <c r="AF163" i="10"/>
  <c r="AG163" i="10" s="1"/>
  <c r="AF168" i="10"/>
  <c r="AG168" i="10" s="1"/>
  <c r="AF169" i="10"/>
  <c r="AG169" i="10" s="1"/>
  <c r="AF226" i="10"/>
  <c r="AG226" i="10" s="1"/>
  <c r="AF114" i="10"/>
  <c r="AG114" i="10" s="1"/>
  <c r="AF126" i="10"/>
  <c r="AG126" i="10" s="1"/>
  <c r="AF127" i="10"/>
  <c r="AG127" i="10" s="1"/>
  <c r="AF134" i="10"/>
  <c r="AG134" i="10" s="1"/>
  <c r="AF135" i="10"/>
  <c r="AG135" i="10" s="1"/>
  <c r="AF167" i="10"/>
  <c r="AG167" i="10" s="1"/>
  <c r="AF207" i="10"/>
  <c r="AG207" i="10" s="1"/>
  <c r="AF219" i="10"/>
  <c r="AG219" i="10" s="1"/>
  <c r="AF141" i="10"/>
  <c r="AG141" i="10" s="1"/>
  <c r="AF147" i="10"/>
  <c r="AG147" i="10" s="1"/>
  <c r="AF148" i="10"/>
  <c r="AG148" i="10" s="1"/>
  <c r="AF159" i="10"/>
  <c r="AG159" i="10" s="1"/>
  <c r="AF199" i="10"/>
  <c r="AG199" i="10" s="1"/>
  <c r="AF214" i="10"/>
  <c r="AG214" i="10" s="1"/>
  <c r="AF111" i="10"/>
  <c r="AG111" i="10" s="1"/>
  <c r="AF133" i="10"/>
  <c r="AG133" i="10" s="1"/>
  <c r="AG193" i="10"/>
  <c r="AF203" i="10"/>
  <c r="AG203" i="10" s="1"/>
  <c r="AF211" i="10"/>
  <c r="AG211" i="10" s="1"/>
  <c r="AF213" i="10"/>
  <c r="AG213" i="10" s="1"/>
  <c r="AF131" i="10"/>
  <c r="AG131" i="10" s="1"/>
  <c r="AF139" i="10"/>
  <c r="AG139" i="10" s="1"/>
  <c r="AF198" i="10"/>
  <c r="AG198" i="10" s="1"/>
  <c r="AF208" i="10"/>
  <c r="AG208" i="10" s="1"/>
  <c r="AF212" i="10"/>
  <c r="AG212" i="10" s="1"/>
  <c r="AF216" i="10"/>
  <c r="AG216" i="10" s="1"/>
  <c r="AF217" i="10"/>
  <c r="AG217" i="10" s="1"/>
  <c r="AF140" i="10"/>
  <c r="AG140" i="10" s="1"/>
  <c r="AF204" i="10"/>
  <c r="AG204" i="10" s="1"/>
  <c r="AF205" i="10"/>
  <c r="AG205" i="10" s="1"/>
  <c r="AF102" i="10"/>
  <c r="AG102" i="10" s="1"/>
  <c r="AF119" i="10"/>
  <c r="AG119" i="10" s="1"/>
  <c r="AF121" i="10"/>
  <c r="AG121" i="10" s="1"/>
  <c r="AF122" i="10"/>
  <c r="AG122" i="10" s="1"/>
  <c r="AF170" i="10"/>
  <c r="AG170" i="10" s="1"/>
  <c r="AF177" i="10"/>
  <c r="AG177" i="10" s="1"/>
  <c r="AF184" i="10"/>
  <c r="AG184" i="10" s="1"/>
  <c r="AF196" i="10"/>
  <c r="AG196" i="10" s="1"/>
  <c r="AF233" i="10"/>
  <c r="AG233" i="10" s="1"/>
  <c r="AF100" i="10"/>
  <c r="AG100" i="10" s="1"/>
  <c r="AF123" i="10"/>
  <c r="AG123" i="10" s="1"/>
  <c r="AF156" i="10"/>
  <c r="AG156" i="10" s="1"/>
  <c r="AF164" i="10"/>
  <c r="AG164" i="10" s="1"/>
  <c r="AF175" i="10"/>
  <c r="AG175" i="10" s="1"/>
  <c r="AF176" i="10"/>
  <c r="AG176" i="10" s="1"/>
  <c r="AF9" i="10"/>
  <c r="AF7" i="10"/>
  <c r="AG7" i="10" s="1"/>
  <c r="AW9" i="12"/>
  <c r="AX9" i="12" s="1"/>
  <c r="AW10" i="12"/>
  <c r="AX10" i="12" s="1"/>
  <c r="AW12" i="12"/>
  <c r="AX12" i="12" s="1"/>
  <c r="AW13" i="12"/>
  <c r="AX13" i="12" s="1"/>
  <c r="AW14" i="12"/>
  <c r="AX14" i="12" s="1"/>
  <c r="AW15" i="12"/>
  <c r="AX15" i="12" s="1"/>
  <c r="AW16" i="12"/>
  <c r="AX16" i="12" s="1"/>
  <c r="AW17" i="12"/>
  <c r="AX17" i="12" s="1"/>
  <c r="AW18" i="12"/>
  <c r="AX18" i="12" s="1"/>
  <c r="AW19" i="12"/>
  <c r="AX19" i="12" s="1"/>
  <c r="AW20" i="12"/>
  <c r="AX20" i="12" s="1"/>
  <c r="AW21" i="12"/>
  <c r="AX21" i="12" s="1"/>
  <c r="AW22" i="12"/>
  <c r="AX22" i="12" s="1"/>
  <c r="AW23" i="12"/>
  <c r="AX23" i="12" s="1"/>
  <c r="AW24" i="12"/>
  <c r="AX24" i="12" s="1"/>
  <c r="AW25" i="12"/>
  <c r="AX25" i="12" s="1"/>
  <c r="AW26" i="12"/>
  <c r="AX26" i="12" s="1"/>
  <c r="AW27" i="12"/>
  <c r="AX27" i="12" s="1"/>
  <c r="AW28" i="12"/>
  <c r="AX28" i="12" s="1"/>
  <c r="AW29" i="12"/>
  <c r="AX29" i="12" s="1"/>
  <c r="AW30" i="12"/>
  <c r="AX30" i="12" s="1"/>
  <c r="AW31" i="12"/>
  <c r="AX31" i="12" s="1"/>
  <c r="AW32" i="12"/>
  <c r="AX32" i="12" s="1"/>
  <c r="AW33" i="12"/>
  <c r="AX33" i="12" s="1"/>
  <c r="AW34" i="12"/>
  <c r="AX34" i="12" s="1"/>
  <c r="AW35" i="12"/>
  <c r="AX35" i="12" s="1"/>
  <c r="AW36" i="12"/>
  <c r="AX36" i="12" s="1"/>
  <c r="AW37" i="12"/>
  <c r="AX37" i="12" s="1"/>
  <c r="AW38" i="12"/>
  <c r="AX38" i="12" s="1"/>
  <c r="AW39" i="12"/>
  <c r="AX39" i="12" s="1"/>
  <c r="AW40" i="12"/>
  <c r="AX40" i="12" s="1"/>
  <c r="AW41" i="12"/>
  <c r="AX41" i="12" s="1"/>
  <c r="AW42" i="12"/>
  <c r="AX42" i="12" s="1"/>
  <c r="AW43" i="12"/>
  <c r="AX43" i="12" s="1"/>
  <c r="AW44" i="12"/>
  <c r="AX44" i="12" s="1"/>
  <c r="AW45" i="12"/>
  <c r="AX45" i="12" s="1"/>
  <c r="AW46" i="12"/>
  <c r="AX46" i="12" s="1"/>
  <c r="AW47" i="12"/>
  <c r="AX47" i="12" s="1"/>
  <c r="AW48" i="12"/>
  <c r="AX48" i="12" s="1"/>
  <c r="AW49" i="12"/>
  <c r="AX49" i="12" s="1"/>
  <c r="AW50" i="12"/>
  <c r="AX50" i="12" s="1"/>
  <c r="AW51" i="12"/>
  <c r="AX51" i="12" s="1"/>
  <c r="AW52" i="12"/>
  <c r="AX52" i="12" s="1"/>
  <c r="AW53" i="12"/>
  <c r="AX53" i="12" s="1"/>
  <c r="AW54" i="12"/>
  <c r="AX54" i="12" s="1"/>
  <c r="AW55" i="12"/>
  <c r="AX55" i="12" s="1"/>
  <c r="AW56" i="12"/>
  <c r="AX56" i="12" s="1"/>
  <c r="AW57" i="12"/>
  <c r="AX57" i="12" s="1"/>
  <c r="AW58" i="12"/>
  <c r="AX58" i="12" s="1"/>
  <c r="AW59" i="12"/>
  <c r="AX59" i="12" s="1"/>
  <c r="AW60" i="12"/>
  <c r="AX60" i="12" s="1"/>
  <c r="AW61" i="12"/>
  <c r="AX61" i="12" s="1"/>
  <c r="AW62" i="12"/>
  <c r="AX62" i="12" s="1"/>
  <c r="AW63" i="12"/>
  <c r="AX63" i="12" s="1"/>
  <c r="AW64" i="12"/>
  <c r="AX64" i="12" s="1"/>
  <c r="AW65" i="12"/>
  <c r="AX65" i="12" s="1"/>
  <c r="AW66" i="12"/>
  <c r="AX66" i="12" s="1"/>
  <c r="AW67" i="12"/>
  <c r="AX67" i="12" s="1"/>
  <c r="AW68" i="12"/>
  <c r="AX68" i="12" s="1"/>
  <c r="AW69" i="12"/>
  <c r="AX69" i="12" s="1"/>
  <c r="AW70" i="12"/>
  <c r="AX70" i="12" s="1"/>
  <c r="AW71" i="12"/>
  <c r="AX71" i="12" s="1"/>
  <c r="AW72" i="12"/>
  <c r="AX72" i="12" s="1"/>
  <c r="AW73" i="12"/>
  <c r="AX73" i="12" s="1"/>
  <c r="AW74" i="12"/>
  <c r="AX74" i="12" s="1"/>
  <c r="AW75" i="12"/>
  <c r="AX75" i="12" s="1"/>
  <c r="AW76" i="12"/>
  <c r="AX76" i="12" s="1"/>
  <c r="AW77" i="12"/>
  <c r="AX77" i="12" s="1"/>
  <c r="AW78" i="12"/>
  <c r="AX78" i="12" s="1"/>
  <c r="AW79" i="12"/>
  <c r="AX79" i="12" s="1"/>
  <c r="AW80" i="12"/>
  <c r="AX80" i="12" s="1"/>
  <c r="AW81" i="12"/>
  <c r="AX81" i="12" s="1"/>
  <c r="AW82" i="12"/>
  <c r="AX82" i="12" s="1"/>
  <c r="AW83" i="12"/>
  <c r="AX83" i="12" s="1"/>
  <c r="AW84" i="12"/>
  <c r="AX84" i="12" s="1"/>
  <c r="AW85" i="12"/>
  <c r="AX85" i="12" s="1"/>
  <c r="AW86" i="12"/>
  <c r="AX86" i="12" s="1"/>
  <c r="AW87" i="12"/>
  <c r="AX87" i="12" s="1"/>
  <c r="AW88" i="12"/>
  <c r="AX88" i="12" s="1"/>
  <c r="AW89" i="12"/>
  <c r="AX89" i="12" s="1"/>
  <c r="AW90" i="12"/>
  <c r="AX90" i="12" s="1"/>
  <c r="AW91" i="12"/>
  <c r="AX91" i="12" s="1"/>
  <c r="AW92" i="12"/>
  <c r="AX92" i="12" s="1"/>
  <c r="AW93" i="12"/>
  <c r="AX93" i="12" s="1"/>
  <c r="AW94" i="12"/>
  <c r="AX94" i="12" s="1"/>
  <c r="AW95" i="12"/>
  <c r="AX95" i="12" s="1"/>
  <c r="AW96" i="12"/>
  <c r="AX96" i="12" s="1"/>
  <c r="AW97" i="12"/>
  <c r="AX97" i="12" s="1"/>
  <c r="AW98" i="12"/>
  <c r="AX98" i="12" s="1"/>
  <c r="AW99" i="12"/>
  <c r="AX99" i="12" s="1"/>
  <c r="AW100" i="12"/>
  <c r="AX100" i="12" s="1"/>
  <c r="AW101" i="12"/>
  <c r="AX101" i="12" s="1"/>
  <c r="AW102" i="12"/>
  <c r="AX102" i="12" s="1"/>
  <c r="AW103" i="12"/>
  <c r="AX103" i="12" s="1"/>
  <c r="AW104" i="12"/>
  <c r="AX104" i="12" s="1"/>
  <c r="AW105" i="12"/>
  <c r="AX105" i="12" s="1"/>
  <c r="AW106" i="12"/>
  <c r="AX106" i="12" s="1"/>
  <c r="AW107" i="12"/>
  <c r="AX107" i="12" s="1"/>
  <c r="AW108" i="12"/>
  <c r="AX108" i="12" s="1"/>
  <c r="AW109" i="12"/>
  <c r="AX109" i="12" s="1"/>
  <c r="AW110" i="12"/>
  <c r="AX110" i="12" s="1"/>
  <c r="AW111" i="12"/>
  <c r="AX111" i="12" s="1"/>
  <c r="AW112" i="12"/>
  <c r="AX112" i="12" s="1"/>
  <c r="AW113" i="12"/>
  <c r="AX113" i="12" s="1"/>
  <c r="AW114" i="12"/>
  <c r="AX114" i="12" s="1"/>
  <c r="AW115" i="12"/>
  <c r="AX115" i="12" s="1"/>
  <c r="AW116" i="12"/>
  <c r="AX116" i="12" s="1"/>
  <c r="AW117" i="12"/>
  <c r="AX117" i="12" s="1"/>
  <c r="AW118" i="12"/>
  <c r="AX118" i="12" s="1"/>
  <c r="AW119" i="12"/>
  <c r="AX119" i="12" s="1"/>
  <c r="AW120" i="12"/>
  <c r="AX120" i="12" s="1"/>
  <c r="AW121" i="12"/>
  <c r="AX121" i="12" s="1"/>
  <c r="AW122" i="12"/>
  <c r="AX122" i="12" s="1"/>
  <c r="AW123" i="12"/>
  <c r="AX123" i="12" s="1"/>
  <c r="AW124" i="12"/>
  <c r="AX124" i="12" s="1"/>
  <c r="AW125" i="12"/>
  <c r="AX125" i="12" s="1"/>
  <c r="AW126" i="12"/>
  <c r="AX126" i="12" s="1"/>
  <c r="AG8" i="10" l="1"/>
  <c r="AG10" i="10"/>
  <c r="AG9" i="10"/>
  <c r="AW7" i="12"/>
  <c r="AX7" i="12" s="1"/>
  <c r="AW8" i="12"/>
  <c r="AX8" i="12" s="1"/>
  <c r="AW11" i="12"/>
  <c r="AX11" i="12" s="1"/>
  <c r="AK126" i="12" l="1"/>
  <c r="AI126" i="12"/>
  <c r="AG126" i="12"/>
  <c r="AE126" i="12"/>
  <c r="AC126" i="12"/>
  <c r="AA126" i="12"/>
  <c r="Y126" i="12"/>
  <c r="AK125" i="12"/>
  <c r="AI125" i="12"/>
  <c r="AG125" i="12"/>
  <c r="AE125" i="12"/>
  <c r="AC125" i="12"/>
  <c r="AA125" i="12"/>
  <c r="Y125" i="12"/>
  <c r="AK124" i="12"/>
  <c r="AI124" i="12"/>
  <c r="AG124" i="12"/>
  <c r="AE124" i="12"/>
  <c r="AC124" i="12"/>
  <c r="AA124" i="12"/>
  <c r="Y124" i="12"/>
  <c r="AK123" i="12"/>
  <c r="AI123" i="12"/>
  <c r="AG123" i="12"/>
  <c r="AE123" i="12"/>
  <c r="AC123" i="12"/>
  <c r="AA123" i="12"/>
  <c r="Y123" i="12"/>
  <c r="AK122" i="12"/>
  <c r="AI122" i="12"/>
  <c r="AG122" i="12"/>
  <c r="AE122" i="12"/>
  <c r="AC122" i="12"/>
  <c r="AA122" i="12"/>
  <c r="Y122" i="12"/>
  <c r="AK121" i="12"/>
  <c r="AI121" i="12"/>
  <c r="AG121" i="12"/>
  <c r="AE121" i="12"/>
  <c r="AC121" i="12"/>
  <c r="AA121" i="12"/>
  <c r="Y121" i="12"/>
  <c r="Q121" i="12"/>
  <c r="R121" i="12" s="1"/>
  <c r="P121" i="12"/>
  <c r="N121" i="12"/>
  <c r="C121" i="12"/>
  <c r="AK120" i="12"/>
  <c r="AI120" i="12"/>
  <c r="AG120" i="12"/>
  <c r="AE120" i="12"/>
  <c r="AC120" i="12"/>
  <c r="AA120" i="12"/>
  <c r="Y120" i="12"/>
  <c r="AK119" i="12"/>
  <c r="AI119" i="12"/>
  <c r="AG119" i="12"/>
  <c r="AE119" i="12"/>
  <c r="AC119" i="12"/>
  <c r="AA119" i="12"/>
  <c r="Y119" i="12"/>
  <c r="AK118" i="12"/>
  <c r="AI118" i="12"/>
  <c r="AG118" i="12"/>
  <c r="AE118" i="12"/>
  <c r="AC118" i="12"/>
  <c r="AA118" i="12"/>
  <c r="Y118" i="12"/>
  <c r="AK117" i="12"/>
  <c r="AI117" i="12"/>
  <c r="AG117" i="12"/>
  <c r="AE117" i="12"/>
  <c r="AC117" i="12"/>
  <c r="AA117" i="12"/>
  <c r="Y117" i="12"/>
  <c r="AK116" i="12"/>
  <c r="AI116" i="12"/>
  <c r="AG116" i="12"/>
  <c r="AE116" i="12"/>
  <c r="AC116" i="12"/>
  <c r="AA116" i="12"/>
  <c r="Y116" i="12"/>
  <c r="AK115" i="12"/>
  <c r="AI115" i="12"/>
  <c r="AG115" i="12"/>
  <c r="AE115" i="12"/>
  <c r="AC115" i="12"/>
  <c r="AA115" i="12"/>
  <c r="Y115" i="12"/>
  <c r="Q115" i="12"/>
  <c r="R115" i="12" s="1"/>
  <c r="P115" i="12"/>
  <c r="N115" i="12"/>
  <c r="C115" i="12"/>
  <c r="AK114" i="12"/>
  <c r="AI114" i="12"/>
  <c r="AG114" i="12"/>
  <c r="AE114" i="12"/>
  <c r="AC114" i="12"/>
  <c r="AA114" i="12"/>
  <c r="Y114" i="12"/>
  <c r="AK113" i="12"/>
  <c r="AI113" i="12"/>
  <c r="AG113" i="12"/>
  <c r="AE113" i="12"/>
  <c r="AC113" i="12"/>
  <c r="AA113" i="12"/>
  <c r="Y113" i="12"/>
  <c r="AK112" i="12"/>
  <c r="AI112" i="12"/>
  <c r="AG112" i="12"/>
  <c r="AE112" i="12"/>
  <c r="AC112" i="12"/>
  <c r="AA112" i="12"/>
  <c r="Y112" i="12"/>
  <c r="AK111" i="12"/>
  <c r="AI111" i="12"/>
  <c r="AG111" i="12"/>
  <c r="AE111" i="12"/>
  <c r="AC111" i="12"/>
  <c r="AA111" i="12"/>
  <c r="Y111" i="12"/>
  <c r="AK110" i="12"/>
  <c r="AI110" i="12"/>
  <c r="AG110" i="12"/>
  <c r="AE110" i="12"/>
  <c r="AC110" i="12"/>
  <c r="AA110" i="12"/>
  <c r="Y110" i="12"/>
  <c r="AK109" i="12"/>
  <c r="AI109" i="12"/>
  <c r="AG109" i="12"/>
  <c r="AE109" i="12"/>
  <c r="AC109" i="12"/>
  <c r="AA109" i="12"/>
  <c r="Y109" i="12"/>
  <c r="Q109" i="12"/>
  <c r="R109" i="12" s="1"/>
  <c r="P109" i="12"/>
  <c r="N109" i="12"/>
  <c r="C109" i="12"/>
  <c r="AK108" i="12"/>
  <c r="AI108" i="12"/>
  <c r="AG108" i="12"/>
  <c r="AE108" i="12"/>
  <c r="AC108" i="12"/>
  <c r="AA108" i="12"/>
  <c r="Y108" i="12"/>
  <c r="AK107" i="12"/>
  <c r="AI107" i="12"/>
  <c r="AG107" i="12"/>
  <c r="AE107" i="12"/>
  <c r="AC107" i="12"/>
  <c r="AA107" i="12"/>
  <c r="Y107" i="12"/>
  <c r="AK106" i="12"/>
  <c r="AI106" i="12"/>
  <c r="AG106" i="12"/>
  <c r="AE106" i="12"/>
  <c r="AC106" i="12"/>
  <c r="AA106" i="12"/>
  <c r="Y106" i="12"/>
  <c r="AK105" i="12"/>
  <c r="AI105" i="12"/>
  <c r="AG105" i="12"/>
  <c r="AE105" i="12"/>
  <c r="AC105" i="12"/>
  <c r="AA105" i="12"/>
  <c r="Y105" i="12"/>
  <c r="AK104" i="12"/>
  <c r="AI104" i="12"/>
  <c r="AG104" i="12"/>
  <c r="AE104" i="12"/>
  <c r="AC104" i="12"/>
  <c r="AA104" i="12"/>
  <c r="Y104" i="12"/>
  <c r="AK103" i="12"/>
  <c r="AI103" i="12"/>
  <c r="AG103" i="12"/>
  <c r="AE103" i="12"/>
  <c r="AC103" i="12"/>
  <c r="AA103" i="12"/>
  <c r="Y103" i="12"/>
  <c r="Q103" i="12"/>
  <c r="R103" i="12" s="1"/>
  <c r="P103" i="12"/>
  <c r="N103" i="12"/>
  <c r="C103" i="12"/>
  <c r="AK102" i="12"/>
  <c r="AI102" i="12"/>
  <c r="AG102" i="12"/>
  <c r="AE102" i="12"/>
  <c r="AC102" i="12"/>
  <c r="AA102" i="12"/>
  <c r="Y102" i="12"/>
  <c r="AK101" i="12"/>
  <c r="AI101" i="12"/>
  <c r="AG101" i="12"/>
  <c r="AE101" i="12"/>
  <c r="AC101" i="12"/>
  <c r="AA101" i="12"/>
  <c r="Y101" i="12"/>
  <c r="AK100" i="12"/>
  <c r="AI100" i="12"/>
  <c r="AG100" i="12"/>
  <c r="AE100" i="12"/>
  <c r="AC100" i="12"/>
  <c r="AA100" i="12"/>
  <c r="Y100" i="12"/>
  <c r="AK99" i="12"/>
  <c r="AI99" i="12"/>
  <c r="AG99" i="12"/>
  <c r="AE99" i="12"/>
  <c r="AC99" i="12"/>
  <c r="AA99" i="12"/>
  <c r="Y99" i="12"/>
  <c r="AK98" i="12"/>
  <c r="AI98" i="12"/>
  <c r="AG98" i="12"/>
  <c r="AE98" i="12"/>
  <c r="AC98" i="12"/>
  <c r="AA98" i="12"/>
  <c r="Y98" i="12"/>
  <c r="AK97" i="12"/>
  <c r="AI97" i="12"/>
  <c r="AG97" i="12"/>
  <c r="AE97" i="12"/>
  <c r="AC97" i="12"/>
  <c r="AA97" i="12"/>
  <c r="Y97" i="12"/>
  <c r="Q97" i="12"/>
  <c r="R97" i="12" s="1"/>
  <c r="P97" i="12"/>
  <c r="N97" i="12"/>
  <c r="C97" i="12"/>
  <c r="AK96" i="12"/>
  <c r="AI96" i="12"/>
  <c r="AG96" i="12"/>
  <c r="AE96" i="12"/>
  <c r="AC96" i="12"/>
  <c r="AA96" i="12"/>
  <c r="Y96" i="12"/>
  <c r="AK95" i="12"/>
  <c r="AI95" i="12"/>
  <c r="AG95" i="12"/>
  <c r="AE95" i="12"/>
  <c r="AC95" i="12"/>
  <c r="AA95" i="12"/>
  <c r="Y95" i="12"/>
  <c r="AK94" i="12"/>
  <c r="AI94" i="12"/>
  <c r="AG94" i="12"/>
  <c r="AE94" i="12"/>
  <c r="AC94" i="12"/>
  <c r="AA94" i="12"/>
  <c r="Y94" i="12"/>
  <c r="AK93" i="12"/>
  <c r="AI93" i="12"/>
  <c r="AG93" i="12"/>
  <c r="AE93" i="12"/>
  <c r="AC93" i="12"/>
  <c r="AA93" i="12"/>
  <c r="Y93" i="12"/>
  <c r="AK92" i="12"/>
  <c r="AI92" i="12"/>
  <c r="AG92" i="12"/>
  <c r="AE92" i="12"/>
  <c r="AC92" i="12"/>
  <c r="AA92" i="12"/>
  <c r="Y92" i="12"/>
  <c r="AK91" i="12"/>
  <c r="AI91" i="12"/>
  <c r="AG91" i="12"/>
  <c r="AE91" i="12"/>
  <c r="AC91" i="12"/>
  <c r="AA91" i="12"/>
  <c r="Y91" i="12"/>
  <c r="Q91" i="12"/>
  <c r="R91" i="12" s="1"/>
  <c r="P91" i="12"/>
  <c r="N91" i="12"/>
  <c r="C91" i="12"/>
  <c r="AK90" i="12"/>
  <c r="AI90" i="12"/>
  <c r="AG90" i="12"/>
  <c r="AE90" i="12"/>
  <c r="AC90" i="12"/>
  <c r="AA90" i="12"/>
  <c r="Y90" i="12"/>
  <c r="AK89" i="12"/>
  <c r="AI89" i="12"/>
  <c r="AG89" i="12"/>
  <c r="AE89" i="12"/>
  <c r="AC89" i="12"/>
  <c r="AA89" i="12"/>
  <c r="Y89" i="12"/>
  <c r="AK88" i="12"/>
  <c r="AI88" i="12"/>
  <c r="AG88" i="12"/>
  <c r="AE88" i="12"/>
  <c r="AC88" i="12"/>
  <c r="AA88" i="12"/>
  <c r="Y88" i="12"/>
  <c r="AK87" i="12"/>
  <c r="AI87" i="12"/>
  <c r="AG87" i="12"/>
  <c r="AE87" i="12"/>
  <c r="AC87" i="12"/>
  <c r="AA87" i="12"/>
  <c r="Y87" i="12"/>
  <c r="AK86" i="12"/>
  <c r="AI86" i="12"/>
  <c r="AG86" i="12"/>
  <c r="AE86" i="12"/>
  <c r="AC86" i="12"/>
  <c r="AA86" i="12"/>
  <c r="Y86" i="12"/>
  <c r="AK85" i="12"/>
  <c r="AI85" i="12"/>
  <c r="AG85" i="12"/>
  <c r="AE85" i="12"/>
  <c r="AC85" i="12"/>
  <c r="AA85" i="12"/>
  <c r="Y85" i="12"/>
  <c r="Q85" i="12"/>
  <c r="R85" i="12" s="1"/>
  <c r="P85" i="12"/>
  <c r="N85" i="12"/>
  <c r="C85" i="12"/>
  <c r="AK84" i="12"/>
  <c r="AI84" i="12"/>
  <c r="AG84" i="12"/>
  <c r="AE84" i="12"/>
  <c r="AC84" i="12"/>
  <c r="AA84" i="12"/>
  <c r="Y84" i="12"/>
  <c r="AK83" i="12"/>
  <c r="AI83" i="12"/>
  <c r="AG83" i="12"/>
  <c r="AE83" i="12"/>
  <c r="AC83" i="12"/>
  <c r="AA83" i="12"/>
  <c r="Y83" i="12"/>
  <c r="AK82" i="12"/>
  <c r="AI82" i="12"/>
  <c r="AG82" i="12"/>
  <c r="AE82" i="12"/>
  <c r="AC82" i="12"/>
  <c r="AA82" i="12"/>
  <c r="Y82" i="12"/>
  <c r="AK81" i="12"/>
  <c r="AI81" i="12"/>
  <c r="AG81" i="12"/>
  <c r="AE81" i="12"/>
  <c r="AC81" i="12"/>
  <c r="AA81" i="12"/>
  <c r="Y81" i="12"/>
  <c r="AK80" i="12"/>
  <c r="AI80" i="12"/>
  <c r="AG80" i="12"/>
  <c r="AE80" i="12"/>
  <c r="AC80" i="12"/>
  <c r="AA80" i="12"/>
  <c r="Y80" i="12"/>
  <c r="AK79" i="12"/>
  <c r="AI79" i="12"/>
  <c r="AG79" i="12"/>
  <c r="AE79" i="12"/>
  <c r="AC79" i="12"/>
  <c r="AA79" i="12"/>
  <c r="Y79" i="12"/>
  <c r="Q79" i="12"/>
  <c r="R79" i="12" s="1"/>
  <c r="P79" i="12"/>
  <c r="N79" i="12"/>
  <c r="C79" i="12"/>
  <c r="AK78" i="12"/>
  <c r="AI78" i="12"/>
  <c r="AG78" i="12"/>
  <c r="AE78" i="12"/>
  <c r="AC78" i="12"/>
  <c r="AA78" i="12"/>
  <c r="Y78" i="12"/>
  <c r="AK77" i="12"/>
  <c r="AI77" i="12"/>
  <c r="AG77" i="12"/>
  <c r="AE77" i="12"/>
  <c r="AC77" i="12"/>
  <c r="AA77" i="12"/>
  <c r="Y77" i="12"/>
  <c r="AK76" i="12"/>
  <c r="AI76" i="12"/>
  <c r="AG76" i="12"/>
  <c r="AE76" i="12"/>
  <c r="AC76" i="12"/>
  <c r="AA76" i="12"/>
  <c r="Y76" i="12"/>
  <c r="AK75" i="12"/>
  <c r="AI75" i="12"/>
  <c r="AG75" i="12"/>
  <c r="AE75" i="12"/>
  <c r="AC75" i="12"/>
  <c r="AA75" i="12"/>
  <c r="Y75" i="12"/>
  <c r="AK74" i="12"/>
  <c r="AI74" i="12"/>
  <c r="AG74" i="12"/>
  <c r="AE74" i="12"/>
  <c r="AC74" i="12"/>
  <c r="AA74" i="12"/>
  <c r="Y74" i="12"/>
  <c r="AK73" i="12"/>
  <c r="AI73" i="12"/>
  <c r="AG73" i="12"/>
  <c r="AE73" i="12"/>
  <c r="AC73" i="12"/>
  <c r="AA73" i="12"/>
  <c r="Y73" i="12"/>
  <c r="Q73" i="12"/>
  <c r="R73" i="12" s="1"/>
  <c r="P73" i="12"/>
  <c r="N73" i="12"/>
  <c r="C73" i="12"/>
  <c r="AK72" i="12"/>
  <c r="AI72" i="12"/>
  <c r="AG72" i="12"/>
  <c r="AE72" i="12"/>
  <c r="AC72" i="12"/>
  <c r="AA72" i="12"/>
  <c r="Y72" i="12"/>
  <c r="AK71" i="12"/>
  <c r="AI71" i="12"/>
  <c r="AG71" i="12"/>
  <c r="AE71" i="12"/>
  <c r="AC71" i="12"/>
  <c r="AA71" i="12"/>
  <c r="Y71" i="12"/>
  <c r="AK70" i="12"/>
  <c r="AI70" i="12"/>
  <c r="AG70" i="12"/>
  <c r="AE70" i="12"/>
  <c r="AC70" i="12"/>
  <c r="AA70" i="12"/>
  <c r="Y70" i="12"/>
  <c r="AK69" i="12"/>
  <c r="AI69" i="12"/>
  <c r="AG69" i="12"/>
  <c r="AE69" i="12"/>
  <c r="AC69" i="12"/>
  <c r="AA69" i="12"/>
  <c r="Y69" i="12"/>
  <c r="AK68" i="12"/>
  <c r="AI68" i="12"/>
  <c r="AG68" i="12"/>
  <c r="AE68" i="12"/>
  <c r="AC68" i="12"/>
  <c r="AA68" i="12"/>
  <c r="Y68" i="12"/>
  <c r="AK67" i="12"/>
  <c r="AI67" i="12"/>
  <c r="AG67" i="12"/>
  <c r="AE67" i="12"/>
  <c r="AC67" i="12"/>
  <c r="AA67" i="12"/>
  <c r="Y67" i="12"/>
  <c r="Q67" i="12"/>
  <c r="R67" i="12" s="1"/>
  <c r="P67" i="12"/>
  <c r="N67" i="12"/>
  <c r="C67" i="12"/>
  <c r="AK66" i="12"/>
  <c r="AI66" i="12"/>
  <c r="AG66" i="12"/>
  <c r="AE66" i="12"/>
  <c r="AC66" i="12"/>
  <c r="AA66" i="12"/>
  <c r="Y66" i="12"/>
  <c r="AK65" i="12"/>
  <c r="AI65" i="12"/>
  <c r="AG65" i="12"/>
  <c r="AE65" i="12"/>
  <c r="AC65" i="12"/>
  <c r="AA65" i="12"/>
  <c r="Y65" i="12"/>
  <c r="AK64" i="12"/>
  <c r="AI64" i="12"/>
  <c r="AG64" i="12"/>
  <c r="AE64" i="12"/>
  <c r="AC64" i="12"/>
  <c r="AA64" i="12"/>
  <c r="Y64" i="12"/>
  <c r="AK63" i="12"/>
  <c r="AI63" i="12"/>
  <c r="AG63" i="12"/>
  <c r="AE63" i="12"/>
  <c r="AC63" i="12"/>
  <c r="AA63" i="12"/>
  <c r="Y63" i="12"/>
  <c r="AK62" i="12"/>
  <c r="AI62" i="12"/>
  <c r="AG62" i="12"/>
  <c r="AE62" i="12"/>
  <c r="AC62" i="12"/>
  <c r="AA62" i="12"/>
  <c r="Y62" i="12"/>
  <c r="AK61" i="12"/>
  <c r="AI61" i="12"/>
  <c r="AG61" i="12"/>
  <c r="AE61" i="12"/>
  <c r="AC61" i="12"/>
  <c r="AA61" i="12"/>
  <c r="Y61" i="12"/>
  <c r="Q61" i="12"/>
  <c r="R61" i="12" s="1"/>
  <c r="P61" i="12"/>
  <c r="N61" i="12"/>
  <c r="C61" i="12"/>
  <c r="AK60" i="12"/>
  <c r="AI60" i="12"/>
  <c r="AG60" i="12"/>
  <c r="AE60" i="12"/>
  <c r="AC60" i="12"/>
  <c r="AA60" i="12"/>
  <c r="Y60" i="12"/>
  <c r="AK59" i="12"/>
  <c r="AI59" i="12"/>
  <c r="AG59" i="12"/>
  <c r="AE59" i="12"/>
  <c r="AC59" i="12"/>
  <c r="AA59" i="12"/>
  <c r="Y59" i="12"/>
  <c r="AK58" i="12"/>
  <c r="AI58" i="12"/>
  <c r="AG58" i="12"/>
  <c r="AE58" i="12"/>
  <c r="AC58" i="12"/>
  <c r="AA58" i="12"/>
  <c r="Y58" i="12"/>
  <c r="AK57" i="12"/>
  <c r="AI57" i="12"/>
  <c r="AG57" i="12"/>
  <c r="AE57" i="12"/>
  <c r="AC57" i="12"/>
  <c r="AA57" i="12"/>
  <c r="Y57" i="12"/>
  <c r="AK56" i="12"/>
  <c r="AI56" i="12"/>
  <c r="AG56" i="12"/>
  <c r="AE56" i="12"/>
  <c r="AC56" i="12"/>
  <c r="AA56" i="12"/>
  <c r="Y56" i="12"/>
  <c r="AK55" i="12"/>
  <c r="AI55" i="12"/>
  <c r="AG55" i="12"/>
  <c r="AE55" i="12"/>
  <c r="AC55" i="12"/>
  <c r="AA55" i="12"/>
  <c r="Y55" i="12"/>
  <c r="Q55" i="12"/>
  <c r="R55" i="12" s="1"/>
  <c r="P55" i="12"/>
  <c r="N55" i="12"/>
  <c r="C55" i="12"/>
  <c r="AK54" i="12"/>
  <c r="AI54" i="12"/>
  <c r="AG54" i="12"/>
  <c r="AE54" i="12"/>
  <c r="AC54" i="12"/>
  <c r="AA54" i="12"/>
  <c r="Y54" i="12"/>
  <c r="AK53" i="12"/>
  <c r="AI53" i="12"/>
  <c r="AG53" i="12"/>
  <c r="AE53" i="12"/>
  <c r="AC53" i="12"/>
  <c r="AA53" i="12"/>
  <c r="Y53" i="12"/>
  <c r="AK52" i="12"/>
  <c r="AI52" i="12"/>
  <c r="AG52" i="12"/>
  <c r="AE52" i="12"/>
  <c r="AC52" i="12"/>
  <c r="AA52" i="12"/>
  <c r="Y52" i="12"/>
  <c r="AK51" i="12"/>
  <c r="AI51" i="12"/>
  <c r="AG51" i="12"/>
  <c r="AE51" i="12"/>
  <c r="AC51" i="12"/>
  <c r="AA51" i="12"/>
  <c r="Y51" i="12"/>
  <c r="AK50" i="12"/>
  <c r="AI50" i="12"/>
  <c r="AG50" i="12"/>
  <c r="AE50" i="12"/>
  <c r="AC50" i="12"/>
  <c r="AA50" i="12"/>
  <c r="Y50" i="12"/>
  <c r="AK49" i="12"/>
  <c r="AI49" i="12"/>
  <c r="AG49" i="12"/>
  <c r="AE49" i="12"/>
  <c r="AC49" i="12"/>
  <c r="AA49" i="12"/>
  <c r="Y49" i="12"/>
  <c r="Q49" i="12"/>
  <c r="R49" i="12" s="1"/>
  <c r="P49" i="12"/>
  <c r="N49" i="12"/>
  <c r="C49" i="12"/>
  <c r="AK48" i="12"/>
  <c r="AI48" i="12"/>
  <c r="AG48" i="12"/>
  <c r="AE48" i="12"/>
  <c r="AC48" i="12"/>
  <c r="AA48" i="12"/>
  <c r="Y48" i="12"/>
  <c r="AK47" i="12"/>
  <c r="AI47" i="12"/>
  <c r="AG47" i="12"/>
  <c r="AE47" i="12"/>
  <c r="AC47" i="12"/>
  <c r="AA47" i="12"/>
  <c r="Y47" i="12"/>
  <c r="AK46" i="12"/>
  <c r="AI46" i="12"/>
  <c r="AG46" i="12"/>
  <c r="AE46" i="12"/>
  <c r="AC46" i="12"/>
  <c r="AA46" i="12"/>
  <c r="Y46" i="12"/>
  <c r="AK45" i="12"/>
  <c r="AI45" i="12"/>
  <c r="AG45" i="12"/>
  <c r="AE45" i="12"/>
  <c r="AC45" i="12"/>
  <c r="AA45" i="12"/>
  <c r="Y45" i="12"/>
  <c r="AK44" i="12"/>
  <c r="AI44" i="12"/>
  <c r="AG44" i="12"/>
  <c r="AE44" i="12"/>
  <c r="AC44" i="12"/>
  <c r="AA44" i="12"/>
  <c r="Y44" i="12"/>
  <c r="AK43" i="12"/>
  <c r="AI43" i="12"/>
  <c r="AG43" i="12"/>
  <c r="AE43" i="12"/>
  <c r="AC43" i="12"/>
  <c r="AA43" i="12"/>
  <c r="Y43" i="12"/>
  <c r="Q43" i="12"/>
  <c r="R43" i="12" s="1"/>
  <c r="P43" i="12"/>
  <c r="N43" i="12"/>
  <c r="C43" i="12"/>
  <c r="AK42" i="12"/>
  <c r="AI42" i="12"/>
  <c r="AG42" i="12"/>
  <c r="AE42" i="12"/>
  <c r="AC42" i="12"/>
  <c r="AA42" i="12"/>
  <c r="Y42" i="12"/>
  <c r="AK41" i="12"/>
  <c r="AI41" i="12"/>
  <c r="AG41" i="12"/>
  <c r="AE41" i="12"/>
  <c r="AC41" i="12"/>
  <c r="AA41" i="12"/>
  <c r="Y41" i="12"/>
  <c r="AK40" i="12"/>
  <c r="AI40" i="12"/>
  <c r="AG40" i="12"/>
  <c r="AE40" i="12"/>
  <c r="AC40" i="12"/>
  <c r="AA40" i="12"/>
  <c r="Y40" i="12"/>
  <c r="AK39" i="12"/>
  <c r="AI39" i="12"/>
  <c r="AG39" i="12"/>
  <c r="AE39" i="12"/>
  <c r="AC39" i="12"/>
  <c r="AA39" i="12"/>
  <c r="Y39" i="12"/>
  <c r="AK38" i="12"/>
  <c r="AI38" i="12"/>
  <c r="AG38" i="12"/>
  <c r="AE38" i="12"/>
  <c r="AC38" i="12"/>
  <c r="AA38" i="12"/>
  <c r="Y38" i="12"/>
  <c r="AK37" i="12"/>
  <c r="AI37" i="12"/>
  <c r="AG37" i="12"/>
  <c r="AE37" i="12"/>
  <c r="AC37" i="12"/>
  <c r="AA37" i="12"/>
  <c r="Y37" i="12"/>
  <c r="Q37" i="12"/>
  <c r="R37" i="12" s="1"/>
  <c r="P37" i="12"/>
  <c r="N37" i="12"/>
  <c r="C37" i="12"/>
  <c r="AK36" i="12"/>
  <c r="AI36" i="12"/>
  <c r="AG36" i="12"/>
  <c r="AE36" i="12"/>
  <c r="AC36" i="12"/>
  <c r="AA36" i="12"/>
  <c r="Y36" i="12"/>
  <c r="AK35" i="12"/>
  <c r="AI35" i="12"/>
  <c r="AG35" i="12"/>
  <c r="AE35" i="12"/>
  <c r="AC35" i="12"/>
  <c r="AA35" i="12"/>
  <c r="Y35" i="12"/>
  <c r="AK34" i="12"/>
  <c r="AI34" i="12"/>
  <c r="AG34" i="12"/>
  <c r="AE34" i="12"/>
  <c r="AC34" i="12"/>
  <c r="AA34" i="12"/>
  <c r="Y34" i="12"/>
  <c r="AK33" i="12"/>
  <c r="AI33" i="12"/>
  <c r="AG33" i="12"/>
  <c r="AE33" i="12"/>
  <c r="AC33" i="12"/>
  <c r="AA33" i="12"/>
  <c r="Y33" i="12"/>
  <c r="AK32" i="12"/>
  <c r="AI32" i="12"/>
  <c r="AG32" i="12"/>
  <c r="AE32" i="12"/>
  <c r="AC32" i="12"/>
  <c r="AA32" i="12"/>
  <c r="Y32" i="12"/>
  <c r="AK31" i="12"/>
  <c r="AI31" i="12"/>
  <c r="AG31" i="12"/>
  <c r="AE31" i="12"/>
  <c r="AC31" i="12"/>
  <c r="AA31" i="12"/>
  <c r="Y31" i="12"/>
  <c r="Q31" i="12"/>
  <c r="R31" i="12" s="1"/>
  <c r="P31" i="12"/>
  <c r="N31" i="12"/>
  <c r="C31" i="12"/>
  <c r="AK30" i="12"/>
  <c r="AI30" i="12"/>
  <c r="AG30" i="12"/>
  <c r="AE30" i="12"/>
  <c r="AC30" i="12"/>
  <c r="AA30" i="12"/>
  <c r="Y30" i="12"/>
  <c r="AK29" i="12"/>
  <c r="AI29" i="12"/>
  <c r="AG29" i="12"/>
  <c r="AE29" i="12"/>
  <c r="AC29" i="12"/>
  <c r="AA29" i="12"/>
  <c r="Y29" i="12"/>
  <c r="AK28" i="12"/>
  <c r="AI28" i="12"/>
  <c r="AG28" i="12"/>
  <c r="AE28" i="12"/>
  <c r="AC28" i="12"/>
  <c r="AA28" i="12"/>
  <c r="Y28" i="12"/>
  <c r="AK27" i="12"/>
  <c r="AI27" i="12"/>
  <c r="AG27" i="12"/>
  <c r="AE27" i="12"/>
  <c r="AC27" i="12"/>
  <c r="AA27" i="12"/>
  <c r="Y27" i="12"/>
  <c r="AK26" i="12"/>
  <c r="AI26" i="12"/>
  <c r="AG26" i="12"/>
  <c r="AE26" i="12"/>
  <c r="AC26" i="12"/>
  <c r="AA26" i="12"/>
  <c r="Y26" i="12"/>
  <c r="AK25" i="12"/>
  <c r="AI25" i="12"/>
  <c r="AG25" i="12"/>
  <c r="AE25" i="12"/>
  <c r="AC25" i="12"/>
  <c r="AA25" i="12"/>
  <c r="Y25" i="12"/>
  <c r="Q25" i="12"/>
  <c r="R25" i="12" s="1"/>
  <c r="P25" i="12"/>
  <c r="N25" i="12"/>
  <c r="C25" i="12"/>
  <c r="AK24" i="12"/>
  <c r="AI24" i="12"/>
  <c r="AG24" i="12"/>
  <c r="AE24" i="12"/>
  <c r="AC24" i="12"/>
  <c r="AA24" i="12"/>
  <c r="Y24" i="12"/>
  <c r="AK23" i="12"/>
  <c r="AI23" i="12"/>
  <c r="AG23" i="12"/>
  <c r="AE23" i="12"/>
  <c r="AC23" i="12"/>
  <c r="AA23" i="12"/>
  <c r="Y23" i="12"/>
  <c r="AK22" i="12"/>
  <c r="AI22" i="12"/>
  <c r="AG22" i="12"/>
  <c r="AE22" i="12"/>
  <c r="AC22" i="12"/>
  <c r="AA22" i="12"/>
  <c r="Y22" i="12"/>
  <c r="AK21" i="12"/>
  <c r="AI21" i="12"/>
  <c r="AG21" i="12"/>
  <c r="AE21" i="12"/>
  <c r="AC21" i="12"/>
  <c r="AA21" i="12"/>
  <c r="Y21" i="12"/>
  <c r="AK20" i="12"/>
  <c r="AI20" i="12"/>
  <c r="AG20" i="12"/>
  <c r="AE20" i="12"/>
  <c r="AC20" i="12"/>
  <c r="AA20" i="12"/>
  <c r="Y20" i="12"/>
  <c r="AK19" i="12"/>
  <c r="AI19" i="12"/>
  <c r="AG19" i="12"/>
  <c r="AE19" i="12"/>
  <c r="AC19" i="12"/>
  <c r="AA19" i="12"/>
  <c r="Y19" i="12"/>
  <c r="Q19" i="12"/>
  <c r="R19" i="12" s="1"/>
  <c r="P19" i="12"/>
  <c r="N19" i="12"/>
  <c r="C19" i="12"/>
  <c r="AK18" i="12"/>
  <c r="AI18" i="12"/>
  <c r="AG18" i="12"/>
  <c r="AE18" i="12"/>
  <c r="AC18" i="12"/>
  <c r="AA18" i="12"/>
  <c r="Y18" i="12"/>
  <c r="AK17" i="12"/>
  <c r="AI17" i="12"/>
  <c r="AG17" i="12"/>
  <c r="AE17" i="12"/>
  <c r="AC17" i="12"/>
  <c r="AA17" i="12"/>
  <c r="Y17" i="12"/>
  <c r="AK16" i="12"/>
  <c r="AI16" i="12"/>
  <c r="AG16" i="12"/>
  <c r="AE16" i="12"/>
  <c r="AC16" i="12"/>
  <c r="AA16" i="12"/>
  <c r="Y16" i="12"/>
  <c r="AK15" i="12"/>
  <c r="AI15" i="12"/>
  <c r="AG15" i="12"/>
  <c r="AE15" i="12"/>
  <c r="AC15" i="12"/>
  <c r="AA15" i="12"/>
  <c r="Y15" i="12"/>
  <c r="AK14" i="12"/>
  <c r="AI14" i="12"/>
  <c r="AG14" i="12"/>
  <c r="AE14" i="12"/>
  <c r="AC14" i="12"/>
  <c r="AA14" i="12"/>
  <c r="Y14" i="12"/>
  <c r="AK13" i="12"/>
  <c r="AI13" i="12"/>
  <c r="AG13" i="12"/>
  <c r="AE13" i="12"/>
  <c r="AC13" i="12"/>
  <c r="AA13" i="12"/>
  <c r="Y13" i="12"/>
  <c r="Q13" i="12"/>
  <c r="R13" i="12" s="1"/>
  <c r="P13" i="12"/>
  <c r="N13" i="12"/>
  <c r="C13" i="12"/>
  <c r="AK12" i="12"/>
  <c r="AI12" i="12"/>
  <c r="AG12" i="12"/>
  <c r="AE12" i="12"/>
  <c r="AC12" i="12"/>
  <c r="AA12" i="12"/>
  <c r="Y12" i="12"/>
  <c r="AK11" i="12"/>
  <c r="AI11" i="12"/>
  <c r="AG11" i="12"/>
  <c r="AE11" i="12"/>
  <c r="AC11" i="12"/>
  <c r="AA11" i="12"/>
  <c r="Y11" i="12"/>
  <c r="AK10" i="12"/>
  <c r="AI10" i="12"/>
  <c r="AG10" i="12"/>
  <c r="AE10" i="12"/>
  <c r="AC10" i="12"/>
  <c r="AA10" i="12"/>
  <c r="Y10" i="12"/>
  <c r="AK9" i="12"/>
  <c r="AI9" i="12"/>
  <c r="AG9" i="12"/>
  <c r="AE9" i="12"/>
  <c r="AC9" i="12"/>
  <c r="AA9" i="12"/>
  <c r="Y9" i="12"/>
  <c r="AK8" i="12"/>
  <c r="AK7" i="12"/>
  <c r="Q7" i="12"/>
  <c r="R7" i="12" s="1"/>
  <c r="P7" i="12"/>
  <c r="N7" i="12"/>
  <c r="C7" i="12"/>
  <c r="B19" i="11"/>
  <c r="BL19" i="12" l="1"/>
  <c r="BJ19" i="12"/>
  <c r="BM19" i="12"/>
  <c r="BK19" i="12"/>
  <c r="BL25" i="12"/>
  <c r="BJ25" i="12"/>
  <c r="BM25" i="12"/>
  <c r="BK25" i="12"/>
  <c r="BL31" i="12"/>
  <c r="BJ31" i="12"/>
  <c r="BM31" i="12"/>
  <c r="BK31" i="12"/>
  <c r="BL37" i="12"/>
  <c r="BJ37" i="12"/>
  <c r="BM37" i="12"/>
  <c r="BK37" i="12"/>
  <c r="BL43" i="12"/>
  <c r="BJ43" i="12"/>
  <c r="BK43" i="12"/>
  <c r="BM43" i="12"/>
  <c r="BL49" i="12"/>
  <c r="BJ49" i="12"/>
  <c r="BM49" i="12"/>
  <c r="BK49" i="12"/>
  <c r="BL55" i="12"/>
  <c r="BJ55" i="12"/>
  <c r="BM55" i="12"/>
  <c r="BK55" i="12"/>
  <c r="BL61" i="12"/>
  <c r="BJ61" i="12"/>
  <c r="BM61" i="12"/>
  <c r="BK61" i="12"/>
  <c r="BL67" i="12"/>
  <c r="BJ67" i="12"/>
  <c r="BM67" i="12"/>
  <c r="BK67" i="12"/>
  <c r="BL73" i="12"/>
  <c r="BJ73" i="12"/>
  <c r="BM73" i="12"/>
  <c r="BK73" i="12"/>
  <c r="BL79" i="12"/>
  <c r="BJ79" i="12"/>
  <c r="BM79" i="12"/>
  <c r="BK79" i="12"/>
  <c r="BL85" i="12"/>
  <c r="BJ85" i="12"/>
  <c r="BM85" i="12"/>
  <c r="BK85" i="12"/>
  <c r="BL91" i="12"/>
  <c r="BJ91" i="12"/>
  <c r="BM91" i="12"/>
  <c r="BK91" i="12"/>
  <c r="BL97" i="12"/>
  <c r="BJ97" i="12"/>
  <c r="BM97" i="12"/>
  <c r="BK97" i="12"/>
  <c r="BL103" i="12"/>
  <c r="BJ103" i="12"/>
  <c r="BM103" i="12"/>
  <c r="BK103" i="12"/>
  <c r="BM109" i="12"/>
  <c r="BL109" i="12"/>
  <c r="BJ109" i="12"/>
  <c r="BK109" i="12"/>
  <c r="BM115" i="12"/>
  <c r="BK115" i="12"/>
  <c r="BL115" i="12"/>
  <c r="BJ115" i="12"/>
  <c r="BM121" i="12"/>
  <c r="BK121" i="12"/>
  <c r="BL121" i="12"/>
  <c r="BJ121" i="12"/>
  <c r="BM13" i="12"/>
  <c r="BL13" i="12"/>
  <c r="BJ13" i="12"/>
  <c r="BK13" i="12"/>
  <c r="BM7" i="12"/>
  <c r="BL7" i="12"/>
  <c r="BK7" i="12"/>
  <c r="BJ7" i="12"/>
  <c r="AL8" i="12"/>
  <c r="AM8" i="12" s="1"/>
  <c r="AL39" i="12"/>
  <c r="AM39" i="12" s="1"/>
  <c r="AL43" i="12"/>
  <c r="AM43" i="12" s="1"/>
  <c r="AL52" i="12"/>
  <c r="AM52" i="12" s="1"/>
  <c r="AL62" i="12"/>
  <c r="AM62" i="12" s="1"/>
  <c r="AL64" i="12"/>
  <c r="AM64" i="12" s="1"/>
  <c r="AL65" i="12"/>
  <c r="AM65" i="12" s="1"/>
  <c r="AL67" i="12"/>
  <c r="AM67" i="12" s="1"/>
  <c r="AL69" i="12"/>
  <c r="AM69" i="12" s="1"/>
  <c r="AL71" i="12"/>
  <c r="AM71" i="12" s="1"/>
  <c r="AL87" i="12"/>
  <c r="AM87" i="12" s="1"/>
  <c r="AL91" i="12"/>
  <c r="AM91" i="12" s="1"/>
  <c r="AL94" i="12"/>
  <c r="AM94" i="12" s="1"/>
  <c r="AL110" i="12"/>
  <c r="AM110" i="12" s="1"/>
  <c r="AL111" i="12"/>
  <c r="AM111" i="12" s="1"/>
  <c r="AL112" i="12"/>
  <c r="AM112" i="12" s="1"/>
  <c r="AL117" i="12"/>
  <c r="AM117" i="12" s="1"/>
  <c r="AL119" i="12"/>
  <c r="AM119" i="12" s="1"/>
  <c r="AL123" i="12"/>
  <c r="AM123" i="12" s="1"/>
  <c r="AL125" i="12"/>
  <c r="AM125" i="12" s="1"/>
  <c r="AL59" i="12"/>
  <c r="AM59" i="12" s="1"/>
  <c r="AL66" i="12"/>
  <c r="AM66" i="12" s="1"/>
  <c r="AL68" i="12"/>
  <c r="AM68" i="12" s="1"/>
  <c r="AL70" i="12"/>
  <c r="AM70" i="12" s="1"/>
  <c r="AL72" i="12"/>
  <c r="AM72" i="12" s="1"/>
  <c r="AL86" i="12"/>
  <c r="AM86" i="12" s="1"/>
  <c r="AL88" i="12"/>
  <c r="AM88" i="12" s="1"/>
  <c r="AL92" i="12"/>
  <c r="AM92" i="12" s="1"/>
  <c r="AL96" i="12"/>
  <c r="AM96" i="12" s="1"/>
  <c r="AL51" i="12"/>
  <c r="AM51" i="12" s="1"/>
  <c r="AL53" i="12"/>
  <c r="AM53" i="12" s="1"/>
  <c r="AL40" i="12"/>
  <c r="AM40" i="12" s="1"/>
  <c r="AL41" i="12"/>
  <c r="AM41" i="12" s="1"/>
  <c r="AL50" i="12"/>
  <c r="AM50" i="12" s="1"/>
  <c r="AL7" i="12"/>
  <c r="AL14" i="12"/>
  <c r="AM14" i="12" s="1"/>
  <c r="AL15" i="12"/>
  <c r="AM15" i="12" s="1"/>
  <c r="AL16" i="12"/>
  <c r="AM16" i="12" s="1"/>
  <c r="AL17" i="12"/>
  <c r="AM17" i="12" s="1"/>
  <c r="AL18" i="12"/>
  <c r="AM18" i="12" s="1"/>
  <c r="AL19" i="12"/>
  <c r="AM19" i="12" s="1"/>
  <c r="AL26" i="12"/>
  <c r="AM26" i="12" s="1"/>
  <c r="AL27" i="12"/>
  <c r="AM27" i="12" s="1"/>
  <c r="AL28" i="12"/>
  <c r="AM28" i="12" s="1"/>
  <c r="AL29" i="12"/>
  <c r="AM29" i="12" s="1"/>
  <c r="AL30" i="12"/>
  <c r="AM30" i="12" s="1"/>
  <c r="AL31" i="12"/>
  <c r="AM31" i="12" s="1"/>
  <c r="AL89" i="12"/>
  <c r="AM89" i="12" s="1"/>
  <c r="AL90" i="12"/>
  <c r="AM90" i="12" s="1"/>
  <c r="AL9" i="12"/>
  <c r="AM9" i="12" s="1"/>
  <c r="AL10" i="12"/>
  <c r="AM10" i="12" s="1"/>
  <c r="AL11" i="12"/>
  <c r="AM11" i="12" s="1"/>
  <c r="AL12" i="12"/>
  <c r="AM12" i="12" s="1"/>
  <c r="AL13" i="12"/>
  <c r="AM13" i="12" s="1"/>
  <c r="AL20" i="12"/>
  <c r="AM20" i="12" s="1"/>
  <c r="AL21" i="12"/>
  <c r="AM21" i="12" s="1"/>
  <c r="AL22" i="12"/>
  <c r="AM22" i="12" s="1"/>
  <c r="AL23" i="12"/>
  <c r="AM23" i="12" s="1"/>
  <c r="AL24" i="12"/>
  <c r="AM24" i="12" s="1"/>
  <c r="AL25" i="12"/>
  <c r="AM25" i="12" s="1"/>
  <c r="AL32" i="12"/>
  <c r="AM32" i="12" s="1"/>
  <c r="AL42" i="12"/>
  <c r="AM42" i="12" s="1"/>
  <c r="AL33" i="12"/>
  <c r="AM33" i="12" s="1"/>
  <c r="AL34" i="12"/>
  <c r="AM34" i="12" s="1"/>
  <c r="AL35" i="12"/>
  <c r="AM35" i="12" s="1"/>
  <c r="AL36" i="12"/>
  <c r="AM36" i="12" s="1"/>
  <c r="AL37" i="12"/>
  <c r="AM37" i="12" s="1"/>
  <c r="AL44" i="12"/>
  <c r="AM44" i="12" s="1"/>
  <c r="AL45" i="12"/>
  <c r="AM45" i="12" s="1"/>
  <c r="AL46" i="12"/>
  <c r="AM46" i="12" s="1"/>
  <c r="AL47" i="12"/>
  <c r="AM47" i="12" s="1"/>
  <c r="AL48" i="12"/>
  <c r="AM48" i="12" s="1"/>
  <c r="AL49" i="12"/>
  <c r="AM49" i="12" s="1"/>
  <c r="AL56" i="12"/>
  <c r="AM56" i="12" s="1"/>
  <c r="AL57" i="12"/>
  <c r="AM57" i="12" s="1"/>
  <c r="AL73" i="12"/>
  <c r="AM73" i="12" s="1"/>
  <c r="AL93" i="12"/>
  <c r="AM93" i="12" s="1"/>
  <c r="AL95" i="12"/>
  <c r="AM95" i="12" s="1"/>
  <c r="AL97" i="12"/>
  <c r="AM97" i="12" s="1"/>
  <c r="AL38" i="12"/>
  <c r="AM38" i="12" s="1"/>
  <c r="AL54" i="12"/>
  <c r="AM54" i="12" s="1"/>
  <c r="AL55" i="12"/>
  <c r="AM55" i="12" s="1"/>
  <c r="AL63" i="12"/>
  <c r="AM63" i="12" s="1"/>
  <c r="AL116" i="12"/>
  <c r="AM116" i="12" s="1"/>
  <c r="AL118" i="12"/>
  <c r="AM118" i="12" s="1"/>
  <c r="AL120" i="12"/>
  <c r="AM120" i="12" s="1"/>
  <c r="AL60" i="12"/>
  <c r="AM60" i="12" s="1"/>
  <c r="AL80" i="12"/>
  <c r="AM80" i="12" s="1"/>
  <c r="AL81" i="12"/>
  <c r="AM81" i="12" s="1"/>
  <c r="AL82" i="12"/>
  <c r="AM82" i="12" s="1"/>
  <c r="AL83" i="12"/>
  <c r="AM83" i="12" s="1"/>
  <c r="AL84" i="12"/>
  <c r="AM84" i="12" s="1"/>
  <c r="AL85" i="12"/>
  <c r="AM85" i="12" s="1"/>
  <c r="AL104" i="12"/>
  <c r="AM104" i="12" s="1"/>
  <c r="AL105" i="12"/>
  <c r="AM105" i="12" s="1"/>
  <c r="AL106" i="12"/>
  <c r="AM106" i="12" s="1"/>
  <c r="AL107" i="12"/>
  <c r="AM107" i="12" s="1"/>
  <c r="AL108" i="12"/>
  <c r="AM108" i="12" s="1"/>
  <c r="AL109" i="12"/>
  <c r="AM109" i="12" s="1"/>
  <c r="AL114" i="12"/>
  <c r="AM114" i="12" s="1"/>
  <c r="AL61" i="12"/>
  <c r="AM61" i="12" s="1"/>
  <c r="AL74" i="12"/>
  <c r="AM74" i="12" s="1"/>
  <c r="AL75" i="12"/>
  <c r="AM75" i="12" s="1"/>
  <c r="AL76" i="12"/>
  <c r="AM76" i="12" s="1"/>
  <c r="AL77" i="12"/>
  <c r="AM77" i="12" s="1"/>
  <c r="AL78" i="12"/>
  <c r="AM78" i="12" s="1"/>
  <c r="AL79" i="12"/>
  <c r="AM79" i="12" s="1"/>
  <c r="AL98" i="12"/>
  <c r="AM98" i="12" s="1"/>
  <c r="AL99" i="12"/>
  <c r="AM99" i="12" s="1"/>
  <c r="AL100" i="12"/>
  <c r="AM100" i="12" s="1"/>
  <c r="AL101" i="12"/>
  <c r="AM101" i="12" s="1"/>
  <c r="AL102" i="12"/>
  <c r="AM102" i="12" s="1"/>
  <c r="AL103" i="12"/>
  <c r="AM103" i="12" s="1"/>
  <c r="AL121" i="12"/>
  <c r="AM121" i="12" s="1"/>
  <c r="AL58" i="12"/>
  <c r="AM58" i="12" s="1"/>
  <c r="AL115" i="12"/>
  <c r="AM115" i="12" s="1"/>
  <c r="AL122" i="12"/>
  <c r="AM122" i="12" s="1"/>
  <c r="AL126" i="12"/>
  <c r="AM126" i="12" s="1"/>
  <c r="AL113" i="12"/>
  <c r="AM113" i="12" s="1"/>
  <c r="AL124" i="12"/>
  <c r="AM124" i="12" s="1"/>
  <c r="AM7" i="12" l="1"/>
  <c r="U4" i="7" l="1"/>
  <c r="U5" i="7"/>
  <c r="U6" i="7"/>
  <c r="U7" i="7"/>
  <c r="U8" i="7"/>
  <c r="U9" i="7"/>
  <c r="U10" i="7"/>
  <c r="U11" i="7"/>
  <c r="U3" i="7"/>
  <c r="AJ119" i="10" s="1"/>
  <c r="AJ187" i="10" l="1"/>
  <c r="AK187" i="10" s="1"/>
  <c r="BB23" i="6"/>
  <c r="BC23" i="6" s="1"/>
  <c r="BB22" i="6"/>
  <c r="BC22" i="6" s="1"/>
  <c r="BB17" i="6"/>
  <c r="BC17" i="6" s="1"/>
  <c r="BB30" i="6"/>
  <c r="BC30" i="6" s="1"/>
  <c r="BB27" i="6"/>
  <c r="BC27" i="6" s="1"/>
  <c r="AJ19" i="10"/>
  <c r="AK19" i="10" s="1"/>
  <c r="AJ21" i="10"/>
  <c r="AK21" i="10" s="1"/>
  <c r="BB13" i="6"/>
  <c r="BC13" i="6" s="1"/>
  <c r="AJ20" i="10"/>
  <c r="AK20" i="10" s="1"/>
  <c r="BB14" i="6"/>
  <c r="BC14" i="6" s="1"/>
  <c r="BB11" i="6"/>
  <c r="BC11" i="6" s="1"/>
  <c r="BB89" i="6"/>
  <c r="BC89" i="6" s="1"/>
  <c r="BB42" i="6"/>
  <c r="BC42" i="6" s="1"/>
  <c r="BB78" i="6"/>
  <c r="BC78" i="6" s="1"/>
  <c r="BB101" i="6"/>
  <c r="BC101" i="6" s="1"/>
  <c r="BB37" i="6"/>
  <c r="BC37" i="6" s="1"/>
  <c r="BB88" i="6"/>
  <c r="BC88" i="6" s="1"/>
  <c r="BB12" i="6"/>
  <c r="BC12" i="6" s="1"/>
  <c r="BB71" i="6"/>
  <c r="BC71" i="6" s="1"/>
  <c r="BB75" i="6"/>
  <c r="BC75" i="6" s="1"/>
  <c r="BB64" i="6"/>
  <c r="BC64" i="6" s="1"/>
  <c r="BB57" i="6"/>
  <c r="BC57" i="6" s="1"/>
  <c r="BB16" i="6"/>
  <c r="BC16" i="6" s="1"/>
  <c r="BD16" i="6" s="1"/>
  <c r="BE16" i="6" s="1"/>
  <c r="BF16" i="6" s="1"/>
  <c r="BG16" i="6" s="1"/>
  <c r="BH16" i="6" s="1"/>
  <c r="BJ16" i="6" s="1"/>
  <c r="BK16" i="6" s="1"/>
  <c r="BB68" i="6"/>
  <c r="BC68" i="6" s="1"/>
  <c r="BB118" i="6"/>
  <c r="BC118" i="6" s="1"/>
  <c r="BB54" i="6"/>
  <c r="BC54" i="6" s="1"/>
  <c r="BB93" i="6"/>
  <c r="BC93" i="6" s="1"/>
  <c r="BB29" i="6"/>
  <c r="BC29" i="6" s="1"/>
  <c r="BB97" i="6"/>
  <c r="BC97" i="6" s="1"/>
  <c r="BB47" i="6"/>
  <c r="BC47" i="6" s="1"/>
  <c r="BB90" i="6"/>
  <c r="BC90" i="6" s="1"/>
  <c r="BB114" i="6"/>
  <c r="BC114" i="6" s="1"/>
  <c r="BB50" i="6"/>
  <c r="BC50" i="6" s="1"/>
  <c r="BB99" i="6"/>
  <c r="BC99" i="6" s="1"/>
  <c r="BB35" i="6"/>
  <c r="BC35" i="6" s="1"/>
  <c r="BB76" i="6"/>
  <c r="BC76" i="6" s="1"/>
  <c r="BB107" i="6"/>
  <c r="BC107" i="6" s="1"/>
  <c r="BB80" i="6"/>
  <c r="BC80" i="6" s="1"/>
  <c r="BB48" i="6"/>
  <c r="BC48" i="6" s="1"/>
  <c r="BB117" i="6"/>
  <c r="BC117" i="6" s="1"/>
  <c r="BB40" i="6"/>
  <c r="BC40" i="6" s="1"/>
  <c r="BB33" i="6"/>
  <c r="BC33" i="6" s="1"/>
  <c r="BB20" i="6"/>
  <c r="BC20" i="6" s="1"/>
  <c r="BB70" i="6"/>
  <c r="BC70" i="6" s="1"/>
  <c r="BB110" i="6"/>
  <c r="BC110" i="6" s="1"/>
  <c r="BB25" i="6"/>
  <c r="BC25" i="6" s="1"/>
  <c r="BB115" i="6"/>
  <c r="BC115" i="6" s="1"/>
  <c r="BB26" i="6"/>
  <c r="BC26" i="6" s="1"/>
  <c r="BB111" i="6"/>
  <c r="BC111" i="6" s="1"/>
  <c r="BB41" i="6"/>
  <c r="BC41" i="6" s="1"/>
  <c r="BB91" i="6"/>
  <c r="BC91" i="6" s="1"/>
  <c r="BB28" i="6"/>
  <c r="BC28" i="6" s="1"/>
  <c r="BB85" i="6"/>
  <c r="BC85" i="6" s="1"/>
  <c r="BB21" i="6"/>
  <c r="BC21" i="6" s="1"/>
  <c r="BB72" i="6"/>
  <c r="BC72" i="6" s="1"/>
  <c r="BB119" i="6"/>
  <c r="BC119" i="6" s="1"/>
  <c r="BB55" i="6"/>
  <c r="BC55" i="6" s="1"/>
  <c r="BB112" i="6"/>
  <c r="BC112" i="6" s="1"/>
  <c r="BB127" i="6"/>
  <c r="BC127" i="6" s="1"/>
  <c r="BB122" i="6"/>
  <c r="BC122" i="6" s="1"/>
  <c r="BB116" i="6"/>
  <c r="BC116" i="6" s="1"/>
  <c r="BD116" i="6" s="1"/>
  <c r="BE116" i="6" s="1"/>
  <c r="BF116" i="6" s="1"/>
  <c r="BG116" i="6" s="1"/>
  <c r="BH116" i="6" s="1"/>
  <c r="BJ116" i="6" s="1"/>
  <c r="BK116" i="6" s="1"/>
  <c r="BB52" i="6"/>
  <c r="BC52" i="6" s="1"/>
  <c r="BB102" i="6"/>
  <c r="BC102" i="6" s="1"/>
  <c r="BB38" i="6"/>
  <c r="BC38" i="6" s="1"/>
  <c r="BB77" i="6"/>
  <c r="BC77" i="6" s="1"/>
  <c r="BB123" i="6"/>
  <c r="BC123" i="6" s="1"/>
  <c r="BB46" i="6"/>
  <c r="BC46" i="6" s="1"/>
  <c r="BB105" i="6"/>
  <c r="BC105" i="6" s="1"/>
  <c r="BB32" i="6"/>
  <c r="BC32" i="6" s="1"/>
  <c r="BB98" i="6"/>
  <c r="BC98" i="6" s="1"/>
  <c r="BB34" i="6"/>
  <c r="BC34" i="6" s="1"/>
  <c r="BB83" i="6"/>
  <c r="BC83" i="6" s="1"/>
  <c r="BB124" i="6"/>
  <c r="BC124" i="6" s="1"/>
  <c r="BB60" i="6"/>
  <c r="BC60" i="6" s="1"/>
  <c r="BB43" i="6"/>
  <c r="BC43" i="6" s="1"/>
  <c r="BB53" i="6"/>
  <c r="BC53" i="6" s="1"/>
  <c r="BB49" i="6"/>
  <c r="BC49" i="6" s="1"/>
  <c r="BB18" i="6"/>
  <c r="BC18" i="6" s="1"/>
  <c r="BB45" i="6"/>
  <c r="BC45" i="6" s="1"/>
  <c r="BB24" i="6"/>
  <c r="BC24" i="6" s="1"/>
  <c r="BB92" i="6"/>
  <c r="BC92" i="6" s="1"/>
  <c r="BB63" i="6"/>
  <c r="BC63" i="6" s="1"/>
  <c r="BB106" i="6"/>
  <c r="BC106" i="6" s="1"/>
  <c r="BB126" i="6"/>
  <c r="BC126" i="6" s="1"/>
  <c r="BB8" i="6"/>
  <c r="BC8" i="6" s="1"/>
  <c r="BB69" i="6"/>
  <c r="BC69" i="6" s="1"/>
  <c r="BB120" i="6"/>
  <c r="BC120" i="6" s="1"/>
  <c r="BD120" i="6" s="1"/>
  <c r="BE120" i="6" s="1"/>
  <c r="BF120" i="6" s="1"/>
  <c r="BG120" i="6" s="1"/>
  <c r="BH120" i="6" s="1"/>
  <c r="BJ120" i="6" s="1"/>
  <c r="BK120" i="6" s="1"/>
  <c r="BB56" i="6"/>
  <c r="BC56" i="6" s="1"/>
  <c r="BB103" i="6"/>
  <c r="BC103" i="6" s="1"/>
  <c r="BB39" i="6"/>
  <c r="BC39" i="6" s="1"/>
  <c r="BB113" i="6"/>
  <c r="BC113" i="6" s="1"/>
  <c r="BB79" i="6"/>
  <c r="BC79" i="6" s="1"/>
  <c r="BB58" i="6"/>
  <c r="BC58" i="6" s="1"/>
  <c r="BB100" i="6"/>
  <c r="BC100" i="6" s="1"/>
  <c r="BB36" i="6"/>
  <c r="BC36" i="6" s="1"/>
  <c r="BD36" i="6" s="1"/>
  <c r="BE36" i="6" s="1"/>
  <c r="BF36" i="6" s="1"/>
  <c r="BG36" i="6" s="1"/>
  <c r="BH36" i="6" s="1"/>
  <c r="BJ36" i="6" s="1"/>
  <c r="BK36" i="6" s="1"/>
  <c r="BB86" i="6"/>
  <c r="BC86" i="6" s="1"/>
  <c r="BB125" i="6"/>
  <c r="BC125" i="6" s="1"/>
  <c r="BB61" i="6"/>
  <c r="BC61" i="6" s="1"/>
  <c r="BB59" i="6"/>
  <c r="BC59" i="6" s="1"/>
  <c r="BB62" i="6"/>
  <c r="BC62" i="6" s="1"/>
  <c r="BB73" i="6"/>
  <c r="BC73" i="6" s="1"/>
  <c r="BB7" i="6"/>
  <c r="BC7" i="6" s="1"/>
  <c r="BB82" i="6"/>
  <c r="BC82" i="6" s="1"/>
  <c r="BD80" i="6" s="1"/>
  <c r="BE80" i="6" s="1"/>
  <c r="BF80" i="6" s="1"/>
  <c r="BG80" i="6" s="1"/>
  <c r="BH80" i="6" s="1"/>
  <c r="BJ80" i="6" s="1"/>
  <c r="BK80" i="6" s="1"/>
  <c r="BB15" i="6"/>
  <c r="BC15" i="6" s="1"/>
  <c r="BB67" i="6"/>
  <c r="BC67" i="6" s="1"/>
  <c r="BB108" i="6"/>
  <c r="BC108" i="6" s="1"/>
  <c r="BB44" i="6"/>
  <c r="BC44" i="6" s="1"/>
  <c r="BB96" i="6"/>
  <c r="BC96" i="6" s="1"/>
  <c r="BB65" i="6"/>
  <c r="BC65" i="6" s="1"/>
  <c r="BB121" i="6"/>
  <c r="BC121" i="6" s="1"/>
  <c r="BB74" i="6"/>
  <c r="BC74" i="6" s="1"/>
  <c r="BB94" i="6"/>
  <c r="BC94" i="6" s="1"/>
  <c r="BB104" i="6"/>
  <c r="BC104" i="6" s="1"/>
  <c r="BB87" i="6"/>
  <c r="BC87" i="6" s="1"/>
  <c r="BB31" i="6"/>
  <c r="BC31" i="6" s="1"/>
  <c r="BB84" i="6"/>
  <c r="BC84" i="6" s="1"/>
  <c r="BB109" i="6"/>
  <c r="BC109" i="6" s="1"/>
  <c r="BB95" i="6"/>
  <c r="BC95" i="6" s="1"/>
  <c r="BB66" i="6"/>
  <c r="BC66" i="6" s="1"/>
  <c r="BB51" i="6"/>
  <c r="BC51" i="6" s="1"/>
  <c r="BB81" i="6"/>
  <c r="BC81" i="6" s="1"/>
  <c r="AJ228" i="10"/>
  <c r="AK228" i="10" s="1"/>
  <c r="AJ133" i="10"/>
  <c r="AK133" i="10" s="1"/>
  <c r="AJ45" i="10"/>
  <c r="AK45" i="10" s="1"/>
  <c r="AJ78" i="10"/>
  <c r="AK78" i="10" s="1"/>
  <c r="AJ83" i="10"/>
  <c r="AK83" i="10" s="1"/>
  <c r="AJ95" i="10"/>
  <c r="AK95" i="10" s="1"/>
  <c r="AJ82" i="10"/>
  <c r="AK82" i="10" s="1"/>
  <c r="AJ171" i="10"/>
  <c r="AK171" i="10" s="1"/>
  <c r="AJ184" i="10"/>
  <c r="AK184" i="10" s="1"/>
  <c r="AJ198" i="10"/>
  <c r="AK198" i="10" s="1"/>
  <c r="AJ207" i="10"/>
  <c r="AK207" i="10" s="1"/>
  <c r="AJ64" i="10"/>
  <c r="AK64" i="10" s="1"/>
  <c r="AJ160" i="10"/>
  <c r="AK160" i="10" s="1"/>
  <c r="AK128" i="10"/>
  <c r="AJ225" i="10"/>
  <c r="AK225" i="10" s="1"/>
  <c r="AJ161" i="10"/>
  <c r="AK161" i="10" s="1"/>
  <c r="AJ151" i="10"/>
  <c r="AK151" i="10" s="1"/>
  <c r="AJ23" i="10"/>
  <c r="AK23" i="10" s="1"/>
  <c r="AJ57" i="10"/>
  <c r="AK57" i="10" s="1"/>
  <c r="AJ213" i="10"/>
  <c r="AK213" i="10" s="1"/>
  <c r="AJ105" i="10"/>
  <c r="AK105" i="10" s="1"/>
  <c r="AJ173" i="10"/>
  <c r="AK173" i="10" s="1"/>
  <c r="AJ100" i="10"/>
  <c r="AK100" i="10" s="1"/>
  <c r="AJ216" i="10"/>
  <c r="AK216" i="10" s="1"/>
  <c r="AJ147" i="10"/>
  <c r="AK147" i="10" s="1"/>
  <c r="AJ130" i="10"/>
  <c r="AK130" i="10" s="1"/>
  <c r="AJ43" i="10"/>
  <c r="AK43" i="10" s="1"/>
  <c r="AJ222" i="10"/>
  <c r="AK222" i="10" s="1"/>
  <c r="AJ186" i="10"/>
  <c r="AK186" i="10" s="1"/>
  <c r="AJ153" i="10"/>
  <c r="AK153" i="10" s="1"/>
  <c r="AJ86" i="10"/>
  <c r="AK86" i="10" s="1"/>
  <c r="AJ192" i="10"/>
  <c r="AK192" i="10" s="1"/>
  <c r="AJ227" i="10"/>
  <c r="AK227" i="10" s="1"/>
  <c r="AJ81" i="10"/>
  <c r="AK81" i="10" s="1"/>
  <c r="AJ37" i="10"/>
  <c r="AK37" i="10" s="1"/>
  <c r="AJ102" i="10"/>
  <c r="AK102" i="10" s="1"/>
  <c r="AJ59" i="10"/>
  <c r="AK59" i="10" s="1"/>
  <c r="AJ91" i="10"/>
  <c r="AK91" i="10" s="1"/>
  <c r="AJ165" i="10"/>
  <c r="AK165" i="10" s="1"/>
  <c r="AJ164" i="10"/>
  <c r="AK164" i="10" s="1"/>
  <c r="AK119" i="10"/>
  <c r="AJ193" i="10"/>
  <c r="AK193" i="10" s="1"/>
  <c r="AJ114" i="10"/>
  <c r="AK114" i="10" s="1"/>
  <c r="AJ14" i="10"/>
  <c r="AK14" i="10" s="1"/>
  <c r="AJ75" i="10"/>
  <c r="AK75" i="10" s="1"/>
  <c r="AJ88" i="10"/>
  <c r="AK88" i="10" s="1"/>
  <c r="AJ96" i="10"/>
  <c r="AK96" i="10" s="1"/>
  <c r="AJ113" i="10"/>
  <c r="AK113" i="10" s="1"/>
  <c r="AJ220" i="10"/>
  <c r="AK220" i="10" s="1"/>
  <c r="AJ101" i="10"/>
  <c r="AK101" i="10" s="1"/>
  <c r="AJ50" i="10"/>
  <c r="AK50" i="10" s="1"/>
  <c r="AJ155" i="10"/>
  <c r="AK155" i="10" s="1"/>
  <c r="AJ234" i="10"/>
  <c r="AK234" i="10" s="1"/>
  <c r="AJ174" i="10"/>
  <c r="AK174" i="10" s="1"/>
  <c r="AJ123" i="10"/>
  <c r="AK123" i="10" s="1"/>
  <c r="AJ39" i="10"/>
  <c r="AK39" i="10" s="1"/>
  <c r="AJ32" i="10"/>
  <c r="AK32" i="10" s="1"/>
  <c r="AJ85" i="10"/>
  <c r="AK85" i="10" s="1"/>
  <c r="AJ200" i="10"/>
  <c r="AK200" i="10" s="1"/>
  <c r="AJ175" i="10"/>
  <c r="AK175" i="10" s="1"/>
  <c r="AJ111" i="10"/>
  <c r="AK111" i="10" s="1"/>
  <c r="AJ74" i="10"/>
  <c r="AK74" i="10" s="1"/>
  <c r="AJ77" i="10"/>
  <c r="AK77" i="10" s="1"/>
  <c r="AJ93" i="10"/>
  <c r="AK93" i="10" s="1"/>
  <c r="AJ73" i="10"/>
  <c r="AK73" i="10" s="1"/>
  <c r="AJ196" i="10"/>
  <c r="AK196" i="10" s="1"/>
  <c r="AJ219" i="10"/>
  <c r="AK219" i="10" s="1"/>
  <c r="AJ185" i="10"/>
  <c r="AK185" i="10" s="1"/>
  <c r="AJ92" i="10"/>
  <c r="AK92" i="10" s="1"/>
  <c r="AJ87" i="10"/>
  <c r="AK87" i="10" s="1"/>
  <c r="AJ53" i="10"/>
  <c r="AK53" i="10" s="1"/>
  <c r="AJ202" i="10"/>
  <c r="AK202" i="10" s="1"/>
  <c r="AJ188" i="10"/>
  <c r="AK188" i="10" s="1"/>
  <c r="AJ122" i="10"/>
  <c r="AK122" i="10" s="1"/>
  <c r="AJ211" i="10"/>
  <c r="AK211" i="10" s="1"/>
  <c r="AJ127" i="10"/>
  <c r="AK127" i="10" s="1"/>
  <c r="AJ26" i="10"/>
  <c r="AK26" i="10" s="1"/>
  <c r="AJ68" i="10"/>
  <c r="AK68" i="10" s="1"/>
  <c r="AJ104" i="10"/>
  <c r="AK104" i="10" s="1"/>
  <c r="AJ99" i="10"/>
  <c r="AK99" i="10" s="1"/>
  <c r="AJ63" i="10"/>
  <c r="AK63" i="10" s="1"/>
  <c r="AJ230" i="10"/>
  <c r="AK230" i="10" s="1"/>
  <c r="AJ162" i="10"/>
  <c r="AK162" i="10" s="1"/>
  <c r="AJ118" i="10"/>
  <c r="AK118" i="10" s="1"/>
  <c r="AJ132" i="10"/>
  <c r="AK132" i="10" s="1"/>
  <c r="AJ197" i="10"/>
  <c r="AK197" i="10" s="1"/>
  <c r="AJ226" i="10"/>
  <c r="AK226" i="10" s="1"/>
  <c r="AJ178" i="10"/>
  <c r="AK178" i="10" s="1"/>
  <c r="AJ215" i="10"/>
  <c r="AK215" i="10" s="1"/>
  <c r="AJ177" i="10"/>
  <c r="AK177" i="10" s="1"/>
  <c r="AJ139" i="10"/>
  <c r="AK139" i="10" s="1"/>
  <c r="AJ167" i="10"/>
  <c r="AK167" i="10" s="1"/>
  <c r="AJ22" i="10"/>
  <c r="AK22" i="10" s="1"/>
  <c r="AJ55" i="10"/>
  <c r="AK55" i="10" s="1"/>
  <c r="AJ157" i="10"/>
  <c r="AK157" i="10" s="1"/>
  <c r="AJ115" i="10"/>
  <c r="AK115" i="10" s="1"/>
  <c r="AJ172" i="10"/>
  <c r="AK172" i="10" s="1"/>
  <c r="AJ71" i="10"/>
  <c r="AK71" i="10" s="1"/>
  <c r="AJ116" i="10"/>
  <c r="AK116" i="10" s="1"/>
  <c r="AJ109" i="10"/>
  <c r="AK109" i="10" s="1"/>
  <c r="AJ80" i="10"/>
  <c r="AK80" i="10" s="1"/>
  <c r="AJ195" i="10"/>
  <c r="AK195" i="10" s="1"/>
  <c r="AJ159" i="10"/>
  <c r="AK159" i="10" s="1"/>
  <c r="AJ70" i="10"/>
  <c r="AK70" i="10" s="1"/>
  <c r="AJ142" i="10"/>
  <c r="AK142" i="10" s="1"/>
  <c r="AJ223" i="10"/>
  <c r="AK223" i="10" s="1"/>
  <c r="AJ156" i="10"/>
  <c r="AK156" i="10" s="1"/>
  <c r="AJ140" i="10"/>
  <c r="AK140" i="10" s="1"/>
  <c r="AJ199" i="10"/>
  <c r="AK199" i="10" s="1"/>
  <c r="AJ163" i="10"/>
  <c r="AK163" i="10" s="1"/>
  <c r="AJ61" i="10"/>
  <c r="AK61" i="10" s="1"/>
  <c r="AJ28" i="10"/>
  <c r="AK28" i="10" s="1"/>
  <c r="AJ232" i="10"/>
  <c r="AK232" i="10" s="1"/>
  <c r="AJ146" i="10"/>
  <c r="AK146" i="10" s="1"/>
  <c r="AJ79" i="10"/>
  <c r="AK79" i="10" s="1"/>
  <c r="AJ183" i="10"/>
  <c r="AK183" i="10" s="1"/>
  <c r="AJ235" i="10"/>
  <c r="AK235" i="10" s="1"/>
  <c r="AJ120" i="10"/>
  <c r="AK120" i="10" s="1"/>
  <c r="AJ108" i="10"/>
  <c r="AK108" i="10" s="1"/>
  <c r="AJ90" i="10"/>
  <c r="AK90" i="10" s="1"/>
  <c r="AJ117" i="10"/>
  <c r="AK117" i="10" s="1"/>
  <c r="AJ46" i="10"/>
  <c r="AK46" i="10" s="1"/>
  <c r="AJ205" i="10"/>
  <c r="AK205" i="10" s="1"/>
  <c r="AJ169" i="10"/>
  <c r="AK169" i="10" s="1"/>
  <c r="AJ58" i="10"/>
  <c r="AK58" i="10" s="1"/>
  <c r="AJ66" i="10"/>
  <c r="AK66" i="10" s="1"/>
  <c r="AJ136" i="10"/>
  <c r="AK136" i="10" s="1"/>
  <c r="AJ154" i="10"/>
  <c r="AK154" i="10" s="1"/>
  <c r="AJ179" i="10"/>
  <c r="AK179" i="10" s="1"/>
  <c r="AJ176" i="10"/>
  <c r="AK176" i="10" s="1"/>
  <c r="AJ16" i="10"/>
  <c r="AK16" i="10" s="1"/>
  <c r="AJ49" i="10"/>
  <c r="AK49" i="10" s="1"/>
  <c r="AJ89" i="10"/>
  <c r="AK89" i="10" s="1"/>
  <c r="AJ124" i="10"/>
  <c r="AK124" i="10" s="1"/>
  <c r="AJ191" i="10"/>
  <c r="AK191" i="10" s="1"/>
  <c r="AJ107" i="10"/>
  <c r="AK107" i="10" s="1"/>
  <c r="AJ204" i="10"/>
  <c r="AK204" i="10" s="1"/>
  <c r="AJ168" i="10"/>
  <c r="AK168" i="10" s="1"/>
  <c r="AJ17" i="10"/>
  <c r="AK17" i="10" s="1"/>
  <c r="AJ48" i="10"/>
  <c r="AK48" i="10" s="1"/>
  <c r="AJ72" i="10"/>
  <c r="AK72" i="10" s="1"/>
  <c r="AJ11" i="10"/>
  <c r="AK11" i="10" s="1"/>
  <c r="AJ125" i="10"/>
  <c r="AK125" i="10" s="1"/>
  <c r="AJ24" i="10"/>
  <c r="AK24" i="10" s="1"/>
  <c r="AJ218" i="10"/>
  <c r="AK218" i="10" s="1"/>
  <c r="AJ170" i="10"/>
  <c r="AK170" i="10" s="1"/>
  <c r="AJ135" i="10"/>
  <c r="AK135" i="10" s="1"/>
  <c r="AJ52" i="10"/>
  <c r="AK52" i="10" s="1"/>
  <c r="AJ150" i="10"/>
  <c r="AK150" i="10" s="1"/>
  <c r="AJ56" i="10"/>
  <c r="AK56" i="10" s="1"/>
  <c r="AJ103" i="10"/>
  <c r="AK103" i="10" s="1"/>
  <c r="AJ206" i="10"/>
  <c r="AK206" i="10" s="1"/>
  <c r="AJ36" i="10"/>
  <c r="AK36" i="10" s="1"/>
  <c r="AJ121" i="10"/>
  <c r="AK121" i="10" s="1"/>
  <c r="AJ97" i="10"/>
  <c r="AK97" i="10" s="1"/>
  <c r="AJ141" i="10"/>
  <c r="AK141" i="10" s="1"/>
  <c r="AJ144" i="10"/>
  <c r="AK144" i="10" s="1"/>
  <c r="AJ65" i="10"/>
  <c r="AK65" i="10" s="1"/>
  <c r="AJ208" i="10"/>
  <c r="AK208" i="10" s="1"/>
  <c r="AJ152" i="10"/>
  <c r="AK152" i="10" s="1"/>
  <c r="AJ217" i="10"/>
  <c r="AK217" i="10" s="1"/>
  <c r="AJ229" i="10"/>
  <c r="AK229" i="10" s="1"/>
  <c r="AJ210" i="10"/>
  <c r="AK210" i="10" s="1"/>
  <c r="AJ98" i="10"/>
  <c r="AK98" i="10" s="1"/>
  <c r="AJ31" i="10"/>
  <c r="AK31" i="10" s="1"/>
  <c r="AJ143" i="10"/>
  <c r="AK143" i="10" s="1"/>
  <c r="AJ203" i="10"/>
  <c r="AK203" i="10" s="1"/>
  <c r="AJ47" i="10"/>
  <c r="AK47" i="10" s="1"/>
  <c r="AJ94" i="10"/>
  <c r="AK94" i="10" s="1"/>
  <c r="AJ54" i="10"/>
  <c r="AK54" i="10" s="1"/>
  <c r="AJ201" i="10"/>
  <c r="AK201" i="10" s="1"/>
  <c r="AJ158" i="10"/>
  <c r="AK158" i="10" s="1"/>
  <c r="AJ30" i="10"/>
  <c r="AK30" i="10" s="1"/>
  <c r="AJ25" i="10"/>
  <c r="AK25" i="10" s="1"/>
  <c r="AJ44" i="10"/>
  <c r="AK44" i="10" s="1"/>
  <c r="AJ212" i="10"/>
  <c r="AK212" i="10" s="1"/>
  <c r="AJ106" i="10"/>
  <c r="AK106" i="10" s="1"/>
  <c r="AJ194" i="10"/>
  <c r="AK194" i="10" s="1"/>
  <c r="AJ112" i="10"/>
  <c r="AK112" i="10" s="1"/>
  <c r="AJ51" i="10"/>
  <c r="AK51" i="10" s="1"/>
  <c r="AL51" i="10" s="1"/>
  <c r="AM51" i="10" s="1"/>
  <c r="AJ231" i="10"/>
  <c r="AK231" i="10" s="1"/>
  <c r="AJ138" i="10"/>
  <c r="AK138" i="10" s="1"/>
  <c r="AJ180" i="10"/>
  <c r="AK180" i="10" s="1"/>
  <c r="AJ69" i="10"/>
  <c r="AK69" i="10" s="1"/>
  <c r="AJ60" i="10"/>
  <c r="AK60" i="10" s="1"/>
  <c r="AJ13" i="10"/>
  <c r="AK13" i="10" s="1"/>
  <c r="AJ182" i="10"/>
  <c r="AK182" i="10" s="1"/>
  <c r="AJ189" i="10"/>
  <c r="AK189" i="10" s="1"/>
  <c r="AJ40" i="10"/>
  <c r="AK40" i="10" s="1"/>
  <c r="AJ148" i="10"/>
  <c r="AK148" i="10" s="1"/>
  <c r="AJ224" i="10"/>
  <c r="AK224" i="10" s="1"/>
  <c r="AJ27" i="10"/>
  <c r="AK27" i="10" s="1"/>
  <c r="AJ145" i="10"/>
  <c r="AK145" i="10" s="1"/>
  <c r="AJ38" i="10"/>
  <c r="AK38" i="10" s="1"/>
  <c r="AJ7" i="10"/>
  <c r="AK7" i="10" s="1"/>
  <c r="AJ214" i="10"/>
  <c r="AK214" i="10" s="1"/>
  <c r="AJ67" i="10"/>
  <c r="AK67" i="10" s="1"/>
  <c r="AJ76" i="10"/>
  <c r="AK76" i="10" s="1"/>
  <c r="AJ129" i="10"/>
  <c r="AK129" i="10" s="1"/>
  <c r="AJ137" i="10"/>
  <c r="AK137" i="10" s="1"/>
  <c r="AJ110" i="10"/>
  <c r="AK110" i="10" s="1"/>
  <c r="AJ190" i="10"/>
  <c r="AK190" i="10" s="1"/>
  <c r="AJ84" i="10"/>
  <c r="AK84" i="10" s="1"/>
  <c r="AJ209" i="10"/>
  <c r="AK209" i="10" s="1"/>
  <c r="AJ131" i="10"/>
  <c r="AK131" i="10" s="1"/>
  <c r="AJ18" i="10"/>
  <c r="AK18" i="10" s="1"/>
  <c r="AJ149" i="10"/>
  <c r="AK149" i="10" s="1"/>
  <c r="AJ41" i="10"/>
  <c r="AK41" i="10" s="1"/>
  <c r="AJ166" i="10"/>
  <c r="AK166" i="10" s="1"/>
  <c r="AJ181" i="10"/>
  <c r="AK181" i="10" s="1"/>
  <c r="AJ35" i="10"/>
  <c r="AK35" i="10" s="1"/>
  <c r="AJ126" i="10"/>
  <c r="AK126" i="10" s="1"/>
  <c r="AJ62" i="10"/>
  <c r="AK62" i="10" s="1"/>
  <c r="AJ134" i="10"/>
  <c r="AK134" i="10" s="1"/>
  <c r="AJ233" i="10"/>
  <c r="AK233" i="10" s="1"/>
  <c r="AJ42" i="10"/>
  <c r="AK42" i="10" s="1"/>
  <c r="AJ221" i="10"/>
  <c r="AK221" i="10" s="1"/>
  <c r="AJ8" i="10"/>
  <c r="AK8" i="10" s="1"/>
  <c r="AJ9" i="10"/>
  <c r="AK9" i="10" s="1"/>
  <c r="AJ10" i="10"/>
  <c r="AK10" i="10" s="1"/>
  <c r="AY52" i="12"/>
  <c r="AZ52" i="12" s="1"/>
  <c r="AY8" i="12"/>
  <c r="AZ8" i="12" s="1"/>
  <c r="AY85" i="12"/>
  <c r="AZ85" i="12" s="1"/>
  <c r="AY125" i="12"/>
  <c r="AZ125" i="12" s="1"/>
  <c r="AY121" i="12"/>
  <c r="AZ121" i="12" s="1"/>
  <c r="AY114" i="12"/>
  <c r="AZ114" i="12" s="1"/>
  <c r="AY111" i="12"/>
  <c r="AZ111" i="12" s="1"/>
  <c r="AY122" i="12"/>
  <c r="AZ122" i="12" s="1"/>
  <c r="AY77" i="12"/>
  <c r="AZ77" i="12" s="1"/>
  <c r="AY86" i="12"/>
  <c r="AZ86" i="12" s="1"/>
  <c r="AY119" i="12"/>
  <c r="AZ119" i="12" s="1"/>
  <c r="AY91" i="12"/>
  <c r="AZ91" i="12" s="1"/>
  <c r="AY113" i="12"/>
  <c r="AZ113" i="12" s="1"/>
  <c r="AY76" i="12"/>
  <c r="AZ76" i="12" s="1"/>
  <c r="AY96" i="12"/>
  <c r="AZ96" i="12" s="1"/>
  <c r="AY57" i="12"/>
  <c r="AZ57" i="12" s="1"/>
  <c r="AY25" i="12"/>
  <c r="AZ25" i="12" s="1"/>
  <c r="AY19" i="12"/>
  <c r="AZ19" i="12" s="1"/>
  <c r="AY67" i="12"/>
  <c r="AZ67" i="12" s="1"/>
  <c r="AY56" i="12"/>
  <c r="AZ56" i="12" s="1"/>
  <c r="AY20" i="12"/>
  <c r="AZ20" i="12" s="1"/>
  <c r="AY14" i="12"/>
  <c r="AZ14" i="12" s="1"/>
  <c r="AY43" i="12"/>
  <c r="AZ43" i="12" s="1"/>
  <c r="AY35" i="12"/>
  <c r="AZ35" i="12" s="1"/>
  <c r="AY118" i="12"/>
  <c r="AZ118" i="12" s="1"/>
  <c r="AY112" i="12"/>
  <c r="AZ112" i="12" s="1"/>
  <c r="AY100" i="12"/>
  <c r="AZ100" i="12" s="1"/>
  <c r="AY106" i="12"/>
  <c r="AZ106" i="12" s="1"/>
  <c r="AY116" i="12"/>
  <c r="AZ116" i="12" s="1"/>
  <c r="AY97" i="12"/>
  <c r="AZ97" i="12" s="1"/>
  <c r="AY87" i="12"/>
  <c r="AZ87" i="12" s="1"/>
  <c r="AY79" i="12"/>
  <c r="AZ79" i="12" s="1"/>
  <c r="AY109" i="12"/>
  <c r="AZ109" i="12" s="1"/>
  <c r="AY110" i="12"/>
  <c r="AZ110" i="12" s="1"/>
  <c r="AY101" i="12"/>
  <c r="AZ101" i="12" s="1"/>
  <c r="AY90" i="12"/>
  <c r="AZ90" i="12" s="1"/>
  <c r="AY115" i="12"/>
  <c r="AZ115" i="12" s="1"/>
  <c r="AY108" i="12"/>
  <c r="AZ108" i="12" s="1"/>
  <c r="AY93" i="12"/>
  <c r="AZ93" i="12" s="1"/>
  <c r="AY72" i="12"/>
  <c r="AZ72" i="12" s="1"/>
  <c r="AY117" i="12"/>
  <c r="AZ117" i="12" s="1"/>
  <c r="AY47" i="12"/>
  <c r="AZ47" i="12" s="1"/>
  <c r="AY21" i="12"/>
  <c r="AZ21" i="12" s="1"/>
  <c r="AY15" i="12"/>
  <c r="AZ15" i="12" s="1"/>
  <c r="AY61" i="12"/>
  <c r="AZ61" i="12" s="1"/>
  <c r="AY46" i="12"/>
  <c r="AZ46" i="12" s="1"/>
  <c r="AY10" i="12"/>
  <c r="AZ10" i="12" s="1"/>
  <c r="AY53" i="12"/>
  <c r="AZ53" i="12" s="1"/>
  <c r="AY55" i="12"/>
  <c r="AZ55" i="12" s="1"/>
  <c r="AY42" i="12"/>
  <c r="AZ42" i="12" s="1"/>
  <c r="AY73" i="12"/>
  <c r="AZ73" i="12" s="1"/>
  <c r="AY78" i="12"/>
  <c r="AZ78" i="12" s="1"/>
  <c r="AY84" i="12"/>
  <c r="AZ84" i="12" s="1"/>
  <c r="AY107" i="12"/>
  <c r="AZ107" i="12" s="1"/>
  <c r="AY103" i="12"/>
  <c r="AZ103" i="12" s="1"/>
  <c r="AY105" i="12"/>
  <c r="AZ105" i="12" s="1"/>
  <c r="AY102" i="12"/>
  <c r="AZ102" i="12" s="1"/>
  <c r="AY104" i="12"/>
  <c r="AZ104" i="12" s="1"/>
  <c r="AY94" i="12"/>
  <c r="AZ94" i="12" s="1"/>
  <c r="AY37" i="12"/>
  <c r="AZ37" i="12" s="1"/>
  <c r="AY11" i="12"/>
  <c r="AZ11" i="12" s="1"/>
  <c r="AY40" i="12"/>
  <c r="AZ40" i="12" s="1"/>
  <c r="AY60" i="12"/>
  <c r="AZ60" i="12" s="1"/>
  <c r="AY36" i="12"/>
  <c r="AZ36" i="12" s="1"/>
  <c r="AY28" i="12"/>
  <c r="AZ28" i="12" s="1"/>
  <c r="AY68" i="12"/>
  <c r="AZ68" i="12" s="1"/>
  <c r="AY49" i="12"/>
  <c r="AZ49" i="12" s="1"/>
  <c r="AY23" i="12"/>
  <c r="AZ23" i="12" s="1"/>
  <c r="AY126" i="12"/>
  <c r="AZ126" i="12" s="1"/>
  <c r="AY89" i="12"/>
  <c r="AZ89" i="12" s="1"/>
  <c r="AY124" i="12"/>
  <c r="AZ124" i="12" s="1"/>
  <c r="AY33" i="12"/>
  <c r="AZ33" i="12" s="1"/>
  <c r="AY24" i="12"/>
  <c r="AZ24" i="12" s="1"/>
  <c r="AY13" i="12"/>
  <c r="AZ13" i="12" s="1"/>
  <c r="AY17" i="12"/>
  <c r="AZ17" i="12" s="1"/>
  <c r="AY64" i="12"/>
  <c r="AZ64" i="12" s="1"/>
  <c r="AY48" i="12"/>
  <c r="AZ48" i="12" s="1"/>
  <c r="AY22" i="12"/>
  <c r="AZ22" i="12" s="1"/>
  <c r="AY16" i="12"/>
  <c r="AZ16" i="12" s="1"/>
  <c r="AY69" i="12"/>
  <c r="AZ69" i="12" s="1"/>
  <c r="AY30" i="12"/>
  <c r="AZ30" i="12" s="1"/>
  <c r="AY41" i="12"/>
  <c r="AZ41" i="12" s="1"/>
  <c r="AY38" i="12"/>
  <c r="AZ38" i="12" s="1"/>
  <c r="AY27" i="12"/>
  <c r="AZ27" i="12" s="1"/>
  <c r="AY54" i="12"/>
  <c r="AZ54" i="12" s="1"/>
  <c r="AY59" i="12"/>
  <c r="AZ59" i="12" s="1"/>
  <c r="AY74" i="12"/>
  <c r="AZ74" i="12" s="1"/>
  <c r="AY88" i="12"/>
  <c r="AZ88" i="12" s="1"/>
  <c r="AY99" i="12"/>
  <c r="AZ99" i="12" s="1"/>
  <c r="AY95" i="12"/>
  <c r="AZ95" i="12" s="1"/>
  <c r="AY98" i="12"/>
  <c r="AZ98" i="12" s="1"/>
  <c r="AY120" i="12"/>
  <c r="AZ120" i="12" s="1"/>
  <c r="AY29" i="12"/>
  <c r="AZ29" i="12" s="1"/>
  <c r="AY18" i="12"/>
  <c r="AZ18" i="12" s="1"/>
  <c r="AY9" i="12"/>
  <c r="AZ9" i="12" s="1"/>
  <c r="AY51" i="12"/>
  <c r="AZ51" i="12" s="1"/>
  <c r="AY39" i="12"/>
  <c r="AZ39" i="12" s="1"/>
  <c r="AY44" i="12"/>
  <c r="AZ44" i="12" s="1"/>
  <c r="AY12" i="12"/>
  <c r="AZ12" i="12" s="1"/>
  <c r="AY50" i="12"/>
  <c r="AZ50" i="12" s="1"/>
  <c r="AY62" i="12"/>
  <c r="AZ62" i="12" s="1"/>
  <c r="AY34" i="12"/>
  <c r="AZ34" i="12" s="1"/>
  <c r="AY63" i="12"/>
  <c r="AZ63" i="12" s="1"/>
  <c r="AY71" i="12"/>
  <c r="AZ71" i="12" s="1"/>
  <c r="AY26" i="12"/>
  <c r="AZ26" i="12" s="1"/>
  <c r="AY80" i="12"/>
  <c r="AZ80" i="12" s="1"/>
  <c r="AY123" i="12"/>
  <c r="AZ123" i="12" s="1"/>
  <c r="AY81" i="12"/>
  <c r="AZ81" i="12" s="1"/>
  <c r="AY83" i="12"/>
  <c r="AZ83" i="12" s="1"/>
  <c r="AY92" i="12"/>
  <c r="AZ92" i="12" s="1"/>
  <c r="AY82" i="12"/>
  <c r="AZ82" i="12" s="1"/>
  <c r="AY70" i="12"/>
  <c r="AZ70" i="12" s="1"/>
  <c r="AY65" i="12"/>
  <c r="AZ65" i="12" s="1"/>
  <c r="AY31" i="12"/>
  <c r="AZ31" i="12" s="1"/>
  <c r="AY66" i="12"/>
  <c r="AZ66" i="12" s="1"/>
  <c r="AY58" i="12"/>
  <c r="AZ58" i="12" s="1"/>
  <c r="AY45" i="12"/>
  <c r="AZ45" i="12" s="1"/>
  <c r="AY32" i="12"/>
  <c r="AZ32" i="12" s="1"/>
  <c r="AY75" i="12"/>
  <c r="AZ75" i="12" s="1"/>
  <c r="AY7" i="12"/>
  <c r="AZ7" i="12" s="1"/>
  <c r="BD84" i="6" l="1"/>
  <c r="BE84" i="6" s="1"/>
  <c r="BF84" i="6" s="1"/>
  <c r="BG84" i="6" s="1"/>
  <c r="BH84" i="6" s="1"/>
  <c r="BJ84" i="6" s="1"/>
  <c r="BK84" i="6" s="1"/>
  <c r="BD96" i="6"/>
  <c r="BE96" i="6" s="1"/>
  <c r="BF96" i="6" s="1"/>
  <c r="BG96" i="6" s="1"/>
  <c r="BH96" i="6" s="1"/>
  <c r="BJ96" i="6" s="1"/>
  <c r="BK96" i="6" s="1"/>
  <c r="BD44" i="6"/>
  <c r="BE44" i="6" s="1"/>
  <c r="BF44" i="6" s="1"/>
  <c r="BG44" i="6" s="1"/>
  <c r="BH44" i="6" s="1"/>
  <c r="BJ44" i="6" s="1"/>
  <c r="BK44" i="6" s="1"/>
  <c r="BD20" i="6"/>
  <c r="BE20" i="6" s="1"/>
  <c r="BF20" i="6" s="1"/>
  <c r="BG20" i="6" s="1"/>
  <c r="BH20" i="6" s="1"/>
  <c r="BJ20" i="6" s="1"/>
  <c r="BK20" i="6" s="1"/>
  <c r="AL47" i="10"/>
  <c r="AM47" i="10" s="1"/>
  <c r="BD56" i="6"/>
  <c r="BE56" i="6" s="1"/>
  <c r="BF56" i="6" s="1"/>
  <c r="BG56" i="6" s="1"/>
  <c r="BH56" i="6" s="1"/>
  <c r="BJ56" i="6" s="1"/>
  <c r="BK56" i="6" s="1"/>
  <c r="BD24" i="6"/>
  <c r="BE24" i="6" s="1"/>
  <c r="BF24" i="6" s="1"/>
  <c r="BG24" i="6" s="1"/>
  <c r="BH24" i="6" s="1"/>
  <c r="BJ24" i="6" s="1"/>
  <c r="BK24" i="6" s="1"/>
  <c r="AL127" i="10"/>
  <c r="AM127" i="10" s="1"/>
  <c r="AL111" i="10"/>
  <c r="AM111" i="10" s="1"/>
  <c r="AL220" i="10"/>
  <c r="AM220" i="10" s="1"/>
  <c r="AL35" i="10"/>
  <c r="AM35" i="10" s="1"/>
  <c r="AL224" i="10"/>
  <c r="AM224" i="10" s="1"/>
  <c r="AN224" i="10" s="1"/>
  <c r="AP224" i="10" s="1"/>
  <c r="AR224" i="10" s="1"/>
  <c r="AL31" i="10"/>
  <c r="AM31" i="10" s="1"/>
  <c r="AN31" i="10" s="1"/>
  <c r="AP31" i="10" s="1"/>
  <c r="AR31" i="10" s="1"/>
  <c r="AL11" i="10"/>
  <c r="AM11" i="10" s="1"/>
  <c r="AN14" i="10" s="1"/>
  <c r="AP14" i="10" s="1"/>
  <c r="AL16" i="10"/>
  <c r="AM16" i="10" s="1"/>
  <c r="AL183" i="10"/>
  <c r="AM183" i="10" s="1"/>
  <c r="AN183" i="10" s="1"/>
  <c r="AP183" i="10" s="1"/>
  <c r="AR183" i="10" s="1"/>
  <c r="AL115" i="10"/>
  <c r="AM115" i="10" s="1"/>
  <c r="AO115" i="10" s="1"/>
  <c r="AQ115" i="10" s="1"/>
  <c r="AS115" i="10" s="1"/>
  <c r="AL196" i="10"/>
  <c r="AM196" i="10" s="1"/>
  <c r="AO196" i="10" s="1"/>
  <c r="AQ196" i="10" s="1"/>
  <c r="AS196" i="10" s="1"/>
  <c r="AL43" i="10"/>
  <c r="AM43" i="10" s="1"/>
  <c r="AO43" i="10" s="1"/>
  <c r="AQ43" i="10" s="1"/>
  <c r="AS43" i="10" s="1"/>
  <c r="AL95" i="10"/>
  <c r="AM95" i="10" s="1"/>
  <c r="AN95" i="10" s="1"/>
  <c r="AP95" i="10" s="1"/>
  <c r="AR95" i="10" s="1"/>
  <c r="AL7" i="10"/>
  <c r="AM7" i="10" s="1"/>
  <c r="AO31" i="10"/>
  <c r="AQ31" i="10" s="1"/>
  <c r="AS31" i="10" s="1"/>
  <c r="AL91" i="10"/>
  <c r="AM91" i="10" s="1"/>
  <c r="AO47" i="10"/>
  <c r="AQ47" i="10" s="1"/>
  <c r="AS47" i="10" s="1"/>
  <c r="AN47" i="10"/>
  <c r="AP47" i="10" s="1"/>
  <c r="AR47" i="10" s="1"/>
  <c r="AL79" i="10"/>
  <c r="AM79" i="10" s="1"/>
  <c r="AL188" i="10"/>
  <c r="AM188" i="10" s="1"/>
  <c r="AL119" i="10"/>
  <c r="AM119" i="10" s="1"/>
  <c r="BD72" i="6"/>
  <c r="BE72" i="6" s="1"/>
  <c r="BF72" i="6" s="1"/>
  <c r="BG72" i="6" s="1"/>
  <c r="BH72" i="6" s="1"/>
  <c r="BJ72" i="6" s="1"/>
  <c r="BK72" i="6" s="1"/>
  <c r="BD48" i="6"/>
  <c r="BE48" i="6" s="1"/>
  <c r="BF48" i="6" s="1"/>
  <c r="BG48" i="6" s="1"/>
  <c r="BH48" i="6" s="1"/>
  <c r="BJ48" i="6" s="1"/>
  <c r="BK48" i="6" s="1"/>
  <c r="BD11" i="6"/>
  <c r="BE11" i="6" s="1"/>
  <c r="BF11" i="6" s="1"/>
  <c r="BG11" i="6" s="1"/>
  <c r="BH11" i="6" s="1"/>
  <c r="BJ11" i="6" s="1"/>
  <c r="BK11" i="6" s="1"/>
  <c r="AO35" i="10"/>
  <c r="AQ35" i="10" s="1"/>
  <c r="AS35" i="10" s="1"/>
  <c r="AN35" i="10"/>
  <c r="AP35" i="10" s="1"/>
  <c r="AR35" i="10" s="1"/>
  <c r="AO224" i="10"/>
  <c r="AQ224" i="10" s="1"/>
  <c r="AS224" i="10" s="1"/>
  <c r="AL87" i="10"/>
  <c r="AM87" i="10" s="1"/>
  <c r="AO51" i="10"/>
  <c r="AQ51" i="10" s="1"/>
  <c r="AS51" i="10" s="1"/>
  <c r="AN51" i="10"/>
  <c r="AP51" i="10" s="1"/>
  <c r="AR51" i="10" s="1"/>
  <c r="AL204" i="10"/>
  <c r="AM204" i="10" s="1"/>
  <c r="AL159" i="10"/>
  <c r="AM159" i="10" s="1"/>
  <c r="AO111" i="10"/>
  <c r="AQ111" i="10" s="1"/>
  <c r="AS111" i="10" s="1"/>
  <c r="AN111" i="10"/>
  <c r="AP111" i="10" s="1"/>
  <c r="AR111" i="10" s="1"/>
  <c r="AO220" i="10"/>
  <c r="AQ220" i="10" s="1"/>
  <c r="AS220" i="10" s="1"/>
  <c r="AN220" i="10"/>
  <c r="AP220" i="10" s="1"/>
  <c r="AR220" i="10" s="1"/>
  <c r="AL75" i="10"/>
  <c r="AM75" i="10" s="1"/>
  <c r="AL83" i="10"/>
  <c r="AM83" i="10" s="1"/>
  <c r="AL131" i="10"/>
  <c r="AM131" i="10" s="1"/>
  <c r="AL67" i="10"/>
  <c r="AM67" i="10" s="1"/>
  <c r="AL208" i="10"/>
  <c r="AM208" i="10" s="1"/>
  <c r="AL107" i="10"/>
  <c r="AM107" i="10" s="1"/>
  <c r="AL179" i="10"/>
  <c r="AM179" i="10" s="1"/>
  <c r="AL163" i="10"/>
  <c r="AM163" i="10" s="1"/>
  <c r="AL71" i="10"/>
  <c r="AM71" i="10" s="1"/>
  <c r="AL139" i="10"/>
  <c r="AM139" i="10" s="1"/>
  <c r="AL99" i="10"/>
  <c r="AM99" i="10" s="1"/>
  <c r="AL175" i="10"/>
  <c r="AM175" i="10" s="1"/>
  <c r="AL39" i="10"/>
  <c r="AM39" i="10" s="1"/>
  <c r="AL155" i="10"/>
  <c r="AM155" i="10" s="1"/>
  <c r="AL147" i="10"/>
  <c r="AM147" i="10" s="1"/>
  <c r="AL23" i="10"/>
  <c r="AM23" i="10" s="1"/>
  <c r="AL171" i="10"/>
  <c r="AM171" i="10" s="1"/>
  <c r="AL228" i="10"/>
  <c r="AM228" i="10" s="1"/>
  <c r="BD108" i="6"/>
  <c r="BE108" i="6" s="1"/>
  <c r="BF108" i="6" s="1"/>
  <c r="BG108" i="6" s="1"/>
  <c r="BH108" i="6" s="1"/>
  <c r="BJ108" i="6" s="1"/>
  <c r="BK108" i="6" s="1"/>
  <c r="BD7" i="6"/>
  <c r="BE7" i="6" s="1"/>
  <c r="BF7" i="6" s="1"/>
  <c r="BG7" i="6" s="1"/>
  <c r="BH7" i="6" s="1"/>
  <c r="BJ7" i="6" s="1"/>
  <c r="BK7" i="6" s="1"/>
  <c r="BD100" i="6"/>
  <c r="BE100" i="6" s="1"/>
  <c r="BF100" i="6" s="1"/>
  <c r="BG100" i="6" s="1"/>
  <c r="BH100" i="6" s="1"/>
  <c r="BJ100" i="6" s="1"/>
  <c r="BK100" i="6" s="1"/>
  <c r="BD60" i="6"/>
  <c r="BE60" i="6" s="1"/>
  <c r="BF60" i="6" s="1"/>
  <c r="BG60" i="6" s="1"/>
  <c r="BH60" i="6" s="1"/>
  <c r="BJ60" i="6" s="1"/>
  <c r="BK60" i="6" s="1"/>
  <c r="BD52" i="6"/>
  <c r="BE52" i="6" s="1"/>
  <c r="BF52" i="6" s="1"/>
  <c r="BG52" i="6" s="1"/>
  <c r="BH52" i="6" s="1"/>
  <c r="BJ52" i="6" s="1"/>
  <c r="BK52" i="6" s="1"/>
  <c r="AN20" i="10"/>
  <c r="AP20" i="10" s="1"/>
  <c r="AO20" i="10"/>
  <c r="AQ20" i="10" s="1"/>
  <c r="AN21" i="10"/>
  <c r="AP21" i="10" s="1"/>
  <c r="AO18" i="10"/>
  <c r="AQ18" i="10" s="1"/>
  <c r="AO17" i="10"/>
  <c r="AQ17" i="10" s="1"/>
  <c r="AO16" i="10"/>
  <c r="AQ16" i="10" s="1"/>
  <c r="AN18" i="10"/>
  <c r="AP18" i="10" s="1"/>
  <c r="AN19" i="10"/>
  <c r="AP19" i="10" s="1"/>
  <c r="AO21" i="10"/>
  <c r="AQ21" i="10" s="1"/>
  <c r="AN17" i="10"/>
  <c r="AP17" i="10" s="1"/>
  <c r="AN22" i="10"/>
  <c r="AP22" i="10" s="1"/>
  <c r="AN16" i="10"/>
  <c r="AP16" i="10" s="1"/>
  <c r="AN196" i="10"/>
  <c r="AP196" i="10" s="1"/>
  <c r="AR196" i="10" s="1"/>
  <c r="AL212" i="10"/>
  <c r="AM212" i="10" s="1"/>
  <c r="AL167" i="10"/>
  <c r="AM167" i="10" s="1"/>
  <c r="AL63" i="10"/>
  <c r="AM63" i="10" s="1"/>
  <c r="AL59" i="10"/>
  <c r="AM59" i="10" s="1"/>
  <c r="AL27" i="10"/>
  <c r="AM27" i="10" s="1"/>
  <c r="AL143" i="10"/>
  <c r="AM143" i="10" s="1"/>
  <c r="AL103" i="10"/>
  <c r="AM103" i="10" s="1"/>
  <c r="AL135" i="10"/>
  <c r="AM135" i="10" s="1"/>
  <c r="AL232" i="10"/>
  <c r="AM232" i="10" s="1"/>
  <c r="AL55" i="10"/>
  <c r="AM55" i="10" s="1"/>
  <c r="AL200" i="10"/>
  <c r="AM200" i="10" s="1"/>
  <c r="AL123" i="10"/>
  <c r="AM123" i="10" s="1"/>
  <c r="AL192" i="10"/>
  <c r="AM192" i="10" s="1"/>
  <c r="AL216" i="10"/>
  <c r="AM216" i="10" s="1"/>
  <c r="AL151" i="10"/>
  <c r="AM151" i="10" s="1"/>
  <c r="BD104" i="6"/>
  <c r="BE104" i="6" s="1"/>
  <c r="BF104" i="6" s="1"/>
  <c r="BG104" i="6" s="1"/>
  <c r="BH104" i="6" s="1"/>
  <c r="BJ104" i="6" s="1"/>
  <c r="BK104" i="6" s="1"/>
  <c r="BD64" i="6"/>
  <c r="BE64" i="6" s="1"/>
  <c r="BF64" i="6" s="1"/>
  <c r="BG64" i="6" s="1"/>
  <c r="BH64" i="6" s="1"/>
  <c r="BJ64" i="6" s="1"/>
  <c r="BK64" i="6" s="1"/>
  <c r="BD92" i="6"/>
  <c r="BE92" i="6" s="1"/>
  <c r="BF92" i="6" s="1"/>
  <c r="BG92" i="6" s="1"/>
  <c r="BH92" i="6" s="1"/>
  <c r="BJ92" i="6" s="1"/>
  <c r="BK92" i="6" s="1"/>
  <c r="BD124" i="6"/>
  <c r="BE124" i="6" s="1"/>
  <c r="BF124" i="6" s="1"/>
  <c r="BG124" i="6" s="1"/>
  <c r="BH124" i="6" s="1"/>
  <c r="BJ124" i="6" s="1"/>
  <c r="BK124" i="6" s="1"/>
  <c r="BD32" i="6"/>
  <c r="BE32" i="6" s="1"/>
  <c r="BF32" i="6" s="1"/>
  <c r="BG32" i="6" s="1"/>
  <c r="BH32" i="6" s="1"/>
  <c r="BJ32" i="6" s="1"/>
  <c r="BK32" i="6" s="1"/>
  <c r="BD40" i="6"/>
  <c r="BE40" i="6" s="1"/>
  <c r="BF40" i="6" s="1"/>
  <c r="BG40" i="6" s="1"/>
  <c r="BH40" i="6" s="1"/>
  <c r="BJ40" i="6" s="1"/>
  <c r="BK40" i="6" s="1"/>
  <c r="BD88" i="6"/>
  <c r="BE88" i="6" s="1"/>
  <c r="BF88" i="6" s="1"/>
  <c r="BG88" i="6" s="1"/>
  <c r="BH88" i="6" s="1"/>
  <c r="BJ88" i="6" s="1"/>
  <c r="BK88" i="6" s="1"/>
  <c r="BD28" i="6"/>
  <c r="BE28" i="6" s="1"/>
  <c r="BF28" i="6" s="1"/>
  <c r="BG28" i="6" s="1"/>
  <c r="BH28" i="6" s="1"/>
  <c r="BJ28" i="6" s="1"/>
  <c r="BK28" i="6" s="1"/>
  <c r="BD76" i="6"/>
  <c r="BE76" i="6" s="1"/>
  <c r="BF76" i="6" s="1"/>
  <c r="BG76" i="6" s="1"/>
  <c r="BH76" i="6" s="1"/>
  <c r="BJ76" i="6" s="1"/>
  <c r="BK76" i="6" s="1"/>
  <c r="BD112" i="6"/>
  <c r="BE112" i="6" s="1"/>
  <c r="BF112" i="6" s="1"/>
  <c r="BG112" i="6" s="1"/>
  <c r="BH112" i="6" s="1"/>
  <c r="BJ112" i="6" s="1"/>
  <c r="BK112" i="6" s="1"/>
  <c r="BD68" i="6"/>
  <c r="BE68" i="6" s="1"/>
  <c r="BF68" i="6" s="1"/>
  <c r="BG68" i="6" s="1"/>
  <c r="BH68" i="6" s="1"/>
  <c r="BJ68" i="6" s="1"/>
  <c r="BK68" i="6" s="1"/>
  <c r="BA7" i="12"/>
  <c r="BB7" i="12" s="1"/>
  <c r="BD9" i="12" s="1"/>
  <c r="BF9" i="12" s="1"/>
  <c r="BA97" i="12"/>
  <c r="BB97" i="12" s="1"/>
  <c r="BC101" i="12" s="1"/>
  <c r="BE101" i="12" s="1"/>
  <c r="BA13" i="12"/>
  <c r="BB13" i="12" s="1"/>
  <c r="BD18" i="12" s="1"/>
  <c r="BF18" i="12" s="1"/>
  <c r="BA31" i="12"/>
  <c r="BB31" i="12" s="1"/>
  <c r="BD12" i="12"/>
  <c r="BF12" i="12" s="1"/>
  <c r="BA121" i="12"/>
  <c r="BB121" i="12" s="1"/>
  <c r="BA103" i="12"/>
  <c r="BB103" i="12" s="1"/>
  <c r="BA25" i="12"/>
  <c r="BB25" i="12" s="1"/>
  <c r="BC32" i="12"/>
  <c r="BE32" i="12" s="1"/>
  <c r="BA115" i="12"/>
  <c r="BB115" i="12" s="1"/>
  <c r="BA37" i="12"/>
  <c r="BB37" i="12" s="1"/>
  <c r="BA79" i="12"/>
  <c r="BB79" i="12" s="1"/>
  <c r="BA43" i="12"/>
  <c r="BB43" i="12" s="1"/>
  <c r="BA67" i="12"/>
  <c r="BB67" i="12" s="1"/>
  <c r="BA91" i="12"/>
  <c r="BB91" i="12" s="1"/>
  <c r="BA49" i="12"/>
  <c r="BB49" i="12" s="1"/>
  <c r="BA73" i="12"/>
  <c r="BB73" i="12" s="1"/>
  <c r="BA55" i="12"/>
  <c r="BB55" i="12" s="1"/>
  <c r="BA61" i="12"/>
  <c r="BB61" i="12" s="1"/>
  <c r="BA109" i="12"/>
  <c r="BB109" i="12" s="1"/>
  <c r="BA19" i="12"/>
  <c r="BB19" i="12" s="1"/>
  <c r="BA85" i="12"/>
  <c r="BB85" i="12" s="1"/>
  <c r="BD98" i="12" l="1"/>
  <c r="BF98" i="12" s="1"/>
  <c r="AO183" i="10"/>
  <c r="AQ183" i="10" s="1"/>
  <c r="AS183" i="10" s="1"/>
  <c r="BD8" i="12"/>
  <c r="BF8" i="12" s="1"/>
  <c r="AT111" i="10"/>
  <c r="AU111" i="10" s="1"/>
  <c r="AT35" i="10"/>
  <c r="AU35" i="10" s="1"/>
  <c r="AT47" i="10"/>
  <c r="AU47" i="10" s="1"/>
  <c r="BD102" i="12"/>
  <c r="BF102" i="12" s="1"/>
  <c r="BD99" i="12"/>
  <c r="BF99" i="12" s="1"/>
  <c r="AO95" i="10"/>
  <c r="AQ95" i="10" s="1"/>
  <c r="AS95" i="10" s="1"/>
  <c r="BC7" i="12"/>
  <c r="BE7" i="12" s="1"/>
  <c r="AN43" i="10"/>
  <c r="AP43" i="10" s="1"/>
  <c r="AR43" i="10" s="1"/>
  <c r="AT43" i="10" s="1"/>
  <c r="AU43" i="10" s="1"/>
  <c r="BC98" i="12"/>
  <c r="BE98" i="12" s="1"/>
  <c r="AO13" i="10"/>
  <c r="AQ13" i="10" s="1"/>
  <c r="AN115" i="10"/>
  <c r="AP115" i="10" s="1"/>
  <c r="AR115" i="10" s="1"/>
  <c r="AT115" i="10" s="1"/>
  <c r="AU115" i="10" s="1"/>
  <c r="AO14" i="10"/>
  <c r="AQ14" i="10" s="1"/>
  <c r="AT220" i="10"/>
  <c r="AU220" i="10" s="1"/>
  <c r="AN13" i="10"/>
  <c r="AP13" i="10" s="1"/>
  <c r="AT51" i="10"/>
  <c r="AU51" i="10" s="1"/>
  <c r="AO11" i="10"/>
  <c r="AQ11" i="10" s="1"/>
  <c r="AS11" i="10" s="1"/>
  <c r="AN11" i="10"/>
  <c r="AP11" i="10" s="1"/>
  <c r="AN151" i="10"/>
  <c r="AP151" i="10" s="1"/>
  <c r="AR151" i="10" s="1"/>
  <c r="AO151" i="10"/>
  <c r="AQ151" i="10" s="1"/>
  <c r="AS151" i="10" s="1"/>
  <c r="AO63" i="10"/>
  <c r="AQ63" i="10" s="1"/>
  <c r="AS63" i="10" s="1"/>
  <c r="AN63" i="10"/>
  <c r="AP63" i="10" s="1"/>
  <c r="AR63" i="10" s="1"/>
  <c r="AT63" i="10" s="1"/>
  <c r="AU63" i="10" s="1"/>
  <c r="AO155" i="10"/>
  <c r="AQ155" i="10" s="1"/>
  <c r="AS155" i="10" s="1"/>
  <c r="AN155" i="10"/>
  <c r="AP155" i="10" s="1"/>
  <c r="AR155" i="10" s="1"/>
  <c r="AN163" i="10"/>
  <c r="AP163" i="10" s="1"/>
  <c r="AR163" i="10" s="1"/>
  <c r="AO163" i="10"/>
  <c r="AQ163" i="10" s="1"/>
  <c r="AS163" i="10" s="1"/>
  <c r="AO188" i="10"/>
  <c r="AQ188" i="10" s="1"/>
  <c r="AS188" i="10" s="1"/>
  <c r="AN188" i="10"/>
  <c r="AP188" i="10" s="1"/>
  <c r="AR188" i="10" s="1"/>
  <c r="AO91" i="10"/>
  <c r="AQ91" i="10" s="1"/>
  <c r="AS91" i="10" s="1"/>
  <c r="AN91" i="10"/>
  <c r="AP91" i="10" s="1"/>
  <c r="AR91" i="10" s="1"/>
  <c r="AT91" i="10" s="1"/>
  <c r="AU91" i="10" s="1"/>
  <c r="BC100" i="12"/>
  <c r="BE100" i="12" s="1"/>
  <c r="BC12" i="12"/>
  <c r="BE12" i="12" s="1"/>
  <c r="BC11" i="12"/>
  <c r="BE11" i="12" s="1"/>
  <c r="BC8" i="12"/>
  <c r="BE8" i="12" s="1"/>
  <c r="AN216" i="10"/>
  <c r="AP216" i="10" s="1"/>
  <c r="AR216" i="10" s="1"/>
  <c r="AO216" i="10"/>
  <c r="AQ216" i="10" s="1"/>
  <c r="AS216" i="10" s="1"/>
  <c r="AN55" i="10"/>
  <c r="AP55" i="10" s="1"/>
  <c r="AR55" i="10" s="1"/>
  <c r="AO55" i="10"/>
  <c r="AQ55" i="10" s="1"/>
  <c r="AS55" i="10" s="1"/>
  <c r="AN143" i="10"/>
  <c r="AP143" i="10" s="1"/>
  <c r="AR143" i="10" s="1"/>
  <c r="AO143" i="10"/>
  <c r="AQ143" i="10" s="1"/>
  <c r="AS143" i="10" s="1"/>
  <c r="AN167" i="10"/>
  <c r="AP167" i="10" s="1"/>
  <c r="AR167" i="10" s="1"/>
  <c r="AO167" i="10"/>
  <c r="AQ167" i="10" s="1"/>
  <c r="AS167" i="10" s="1"/>
  <c r="AS16" i="10"/>
  <c r="AO171" i="10"/>
  <c r="AQ171" i="10" s="1"/>
  <c r="AS171" i="10" s="1"/>
  <c r="AN171" i="10"/>
  <c r="AP171" i="10" s="1"/>
  <c r="AR171" i="10" s="1"/>
  <c r="AN39" i="10"/>
  <c r="AP39" i="10" s="1"/>
  <c r="AR39" i="10" s="1"/>
  <c r="AO39" i="10"/>
  <c r="AQ39" i="10" s="1"/>
  <c r="AS39" i="10" s="1"/>
  <c r="AO139" i="10"/>
  <c r="AQ139" i="10" s="1"/>
  <c r="AS139" i="10" s="1"/>
  <c r="AN139" i="10"/>
  <c r="AP139" i="10" s="1"/>
  <c r="AR139" i="10" s="1"/>
  <c r="AO208" i="10"/>
  <c r="AQ208" i="10" s="1"/>
  <c r="AS208" i="10" s="1"/>
  <c r="AN208" i="10"/>
  <c r="AP208" i="10" s="1"/>
  <c r="AR208" i="10" s="1"/>
  <c r="AO75" i="10"/>
  <c r="AQ75" i="10" s="1"/>
  <c r="AS75" i="10" s="1"/>
  <c r="AN75" i="10"/>
  <c r="AP75" i="10" s="1"/>
  <c r="AR75" i="10" s="1"/>
  <c r="AT224" i="10"/>
  <c r="AU224" i="10" s="1"/>
  <c r="AN79" i="10"/>
  <c r="AP79" i="10" s="1"/>
  <c r="AR79" i="10" s="1"/>
  <c r="AO79" i="10"/>
  <c r="AQ79" i="10" s="1"/>
  <c r="AS79" i="10" s="1"/>
  <c r="AT95" i="10"/>
  <c r="AU95" i="10" s="1"/>
  <c r="AT183" i="10"/>
  <c r="AU183" i="10" s="1"/>
  <c r="AT31" i="10"/>
  <c r="AU31" i="10" s="1"/>
  <c r="AN103" i="10"/>
  <c r="AP103" i="10" s="1"/>
  <c r="AR103" i="10" s="1"/>
  <c r="AO103" i="10"/>
  <c r="AQ103" i="10" s="1"/>
  <c r="AS103" i="10" s="1"/>
  <c r="AN99" i="10"/>
  <c r="AP99" i="10" s="1"/>
  <c r="AR99" i="10" s="1"/>
  <c r="AO99" i="10"/>
  <c r="AQ99" i="10" s="1"/>
  <c r="AS99" i="10" s="1"/>
  <c r="AO83" i="10"/>
  <c r="AQ83" i="10" s="1"/>
  <c r="AS83" i="10" s="1"/>
  <c r="AN83" i="10"/>
  <c r="AP83" i="10" s="1"/>
  <c r="AR83" i="10" s="1"/>
  <c r="AN192" i="10"/>
  <c r="AP192" i="10" s="1"/>
  <c r="AR192" i="10" s="1"/>
  <c r="AO192" i="10"/>
  <c r="AQ192" i="10" s="1"/>
  <c r="AS192" i="10" s="1"/>
  <c r="AN27" i="10"/>
  <c r="AP27" i="10" s="1"/>
  <c r="AR27" i="10" s="1"/>
  <c r="AO27" i="10"/>
  <c r="AQ27" i="10" s="1"/>
  <c r="AS27" i="10" s="1"/>
  <c r="AN212" i="10"/>
  <c r="AP212" i="10" s="1"/>
  <c r="AR212" i="10" s="1"/>
  <c r="AO212" i="10"/>
  <c r="AQ212" i="10" s="1"/>
  <c r="AS212" i="10" s="1"/>
  <c r="AO23" i="10"/>
  <c r="AQ23" i="10" s="1"/>
  <c r="AS23" i="10" s="1"/>
  <c r="AN23" i="10"/>
  <c r="AP23" i="10" s="1"/>
  <c r="AR23" i="10" s="1"/>
  <c r="AN175" i="10"/>
  <c r="AP175" i="10" s="1"/>
  <c r="AR175" i="10" s="1"/>
  <c r="AO175" i="10"/>
  <c r="AQ175" i="10" s="1"/>
  <c r="AS175" i="10" s="1"/>
  <c r="AN179" i="10"/>
  <c r="AP179" i="10" s="1"/>
  <c r="AR179" i="10" s="1"/>
  <c r="AO179" i="10"/>
  <c r="AQ179" i="10" s="1"/>
  <c r="AS179" i="10" s="1"/>
  <c r="AO67" i="10"/>
  <c r="AQ67" i="10" s="1"/>
  <c r="AS67" i="10" s="1"/>
  <c r="AN67" i="10"/>
  <c r="AP67" i="10" s="1"/>
  <c r="AR67" i="10" s="1"/>
  <c r="AN159" i="10"/>
  <c r="AP159" i="10" s="1"/>
  <c r="AR159" i="10" s="1"/>
  <c r="AO159" i="10"/>
  <c r="AQ159" i="10" s="1"/>
  <c r="AS159" i="10" s="1"/>
  <c r="AO200" i="10"/>
  <c r="AQ200" i="10" s="1"/>
  <c r="AS200" i="10" s="1"/>
  <c r="AN200" i="10"/>
  <c r="AP200" i="10" s="1"/>
  <c r="AR200" i="10" s="1"/>
  <c r="AO228" i="10"/>
  <c r="AQ228" i="10" s="1"/>
  <c r="AS228" i="10" s="1"/>
  <c r="AN228" i="10"/>
  <c r="AP228" i="10" s="1"/>
  <c r="AR228" i="10" s="1"/>
  <c r="BD11" i="12"/>
  <c r="BF11" i="12" s="1"/>
  <c r="BC10" i="12"/>
  <c r="BE10" i="12" s="1"/>
  <c r="BD10" i="12"/>
  <c r="BF10" i="12" s="1"/>
  <c r="AO232" i="10"/>
  <c r="AQ232" i="10" s="1"/>
  <c r="AS232" i="10" s="1"/>
  <c r="AN232" i="10"/>
  <c r="AP232" i="10" s="1"/>
  <c r="AR232" i="10" s="1"/>
  <c r="BC9" i="12"/>
  <c r="BE9" i="12" s="1"/>
  <c r="BD7" i="12"/>
  <c r="BF7" i="12" s="1"/>
  <c r="BH7" i="12" s="1"/>
  <c r="AO123" i="10"/>
  <c r="AQ123" i="10" s="1"/>
  <c r="AS123" i="10" s="1"/>
  <c r="AN123" i="10"/>
  <c r="AP123" i="10" s="1"/>
  <c r="AR123" i="10" s="1"/>
  <c r="AO135" i="10"/>
  <c r="AQ135" i="10" s="1"/>
  <c r="AS135" i="10" s="1"/>
  <c r="AN135" i="10"/>
  <c r="AP135" i="10" s="1"/>
  <c r="AR135" i="10" s="1"/>
  <c r="AT135" i="10" s="1"/>
  <c r="AU135" i="10" s="1"/>
  <c r="AN59" i="10"/>
  <c r="AP59" i="10" s="1"/>
  <c r="AR59" i="10" s="1"/>
  <c r="AO59" i="10"/>
  <c r="AQ59" i="10" s="1"/>
  <c r="AS59" i="10" s="1"/>
  <c r="AT196" i="10"/>
  <c r="AU196" i="10" s="1"/>
  <c r="AR16" i="10"/>
  <c r="AN147" i="10"/>
  <c r="AP147" i="10" s="1"/>
  <c r="AR147" i="10" s="1"/>
  <c r="AO147" i="10"/>
  <c r="AQ147" i="10" s="1"/>
  <c r="AS147" i="10" s="1"/>
  <c r="AO127" i="10"/>
  <c r="AQ127" i="10" s="1"/>
  <c r="AS127" i="10" s="1"/>
  <c r="AN127" i="10"/>
  <c r="AP127" i="10" s="1"/>
  <c r="AR127" i="10" s="1"/>
  <c r="AT127" i="10" s="1"/>
  <c r="AU127" i="10" s="1"/>
  <c r="AO71" i="10"/>
  <c r="AQ71" i="10" s="1"/>
  <c r="AS71" i="10" s="1"/>
  <c r="AN71" i="10"/>
  <c r="AP71" i="10" s="1"/>
  <c r="AR71" i="10" s="1"/>
  <c r="AO107" i="10"/>
  <c r="AQ107" i="10" s="1"/>
  <c r="AS107" i="10" s="1"/>
  <c r="AN107" i="10"/>
  <c r="AP107" i="10" s="1"/>
  <c r="AR107" i="10" s="1"/>
  <c r="AN131" i="10"/>
  <c r="AP131" i="10" s="1"/>
  <c r="AR131" i="10" s="1"/>
  <c r="AO131" i="10"/>
  <c r="AQ131" i="10" s="1"/>
  <c r="AS131" i="10" s="1"/>
  <c r="AO204" i="10"/>
  <c r="AQ204" i="10" s="1"/>
  <c r="AS204" i="10" s="1"/>
  <c r="AN204" i="10"/>
  <c r="AP204" i="10" s="1"/>
  <c r="AR204" i="10" s="1"/>
  <c r="AT204" i="10" s="1"/>
  <c r="AU204" i="10" s="1"/>
  <c r="AN87" i="10"/>
  <c r="AP87" i="10" s="1"/>
  <c r="AR87" i="10" s="1"/>
  <c r="AO87" i="10"/>
  <c r="AQ87" i="10" s="1"/>
  <c r="AS87" i="10" s="1"/>
  <c r="AN119" i="10"/>
  <c r="AP119" i="10" s="1"/>
  <c r="AR119" i="10" s="1"/>
  <c r="AO119" i="10"/>
  <c r="AQ119" i="10" s="1"/>
  <c r="AS119" i="10" s="1"/>
  <c r="AN8" i="10"/>
  <c r="AP8" i="10" s="1"/>
  <c r="AO7" i="10"/>
  <c r="AQ7" i="10" s="1"/>
  <c r="AS7" i="10" s="1"/>
  <c r="AN9" i="10"/>
  <c r="AP9" i="10" s="1"/>
  <c r="AN7" i="10"/>
  <c r="AP7" i="10" s="1"/>
  <c r="AO8" i="10"/>
  <c r="AQ8" i="10" s="1"/>
  <c r="AO9" i="10"/>
  <c r="AQ9" i="10" s="1"/>
  <c r="BD14" i="12"/>
  <c r="BF14" i="12" s="1"/>
  <c r="BC14" i="12"/>
  <c r="BE14" i="12" s="1"/>
  <c r="BD101" i="12"/>
  <c r="BF101" i="12" s="1"/>
  <c r="BD97" i="12"/>
  <c r="BF97" i="12" s="1"/>
  <c r="BH97" i="12" s="1"/>
  <c r="BC99" i="12"/>
  <c r="BE99" i="12" s="1"/>
  <c r="BD100" i="12"/>
  <c r="BF100" i="12" s="1"/>
  <c r="BC97" i="12"/>
  <c r="BE97" i="12" s="1"/>
  <c r="BG97" i="12" s="1"/>
  <c r="BC102" i="12"/>
  <c r="BE102" i="12" s="1"/>
  <c r="BC34" i="12"/>
  <c r="BE34" i="12" s="1"/>
  <c r="BD36" i="12"/>
  <c r="BF36" i="12" s="1"/>
  <c r="BC33" i="12"/>
  <c r="BE33" i="12" s="1"/>
  <c r="BC36" i="12"/>
  <c r="BE36" i="12" s="1"/>
  <c r="BD33" i="12"/>
  <c r="BF33" i="12" s="1"/>
  <c r="BC35" i="12"/>
  <c r="BE35" i="12" s="1"/>
  <c r="BD34" i="12"/>
  <c r="BF34" i="12" s="1"/>
  <c r="BD35" i="12"/>
  <c r="BF35" i="12" s="1"/>
  <c r="BC15" i="12"/>
  <c r="BE15" i="12" s="1"/>
  <c r="BC17" i="12"/>
  <c r="BE17" i="12" s="1"/>
  <c r="BC18" i="12"/>
  <c r="BE18" i="12" s="1"/>
  <c r="BD16" i="12"/>
  <c r="BF16" i="12" s="1"/>
  <c r="BD17" i="12"/>
  <c r="BF17" i="12" s="1"/>
  <c r="BD13" i="12"/>
  <c r="BF13" i="12" s="1"/>
  <c r="BH13" i="12" s="1"/>
  <c r="BD32" i="12"/>
  <c r="BF32" i="12" s="1"/>
  <c r="BD31" i="12"/>
  <c r="BF31" i="12" s="1"/>
  <c r="BH31" i="12" s="1"/>
  <c r="BC31" i="12"/>
  <c r="BE31" i="12" s="1"/>
  <c r="BG31" i="12" s="1"/>
  <c r="BD15" i="12"/>
  <c r="BF15" i="12" s="1"/>
  <c r="BC16" i="12"/>
  <c r="BE16" i="12" s="1"/>
  <c r="BC13" i="12"/>
  <c r="BE13" i="12" s="1"/>
  <c r="BG13" i="12" s="1"/>
  <c r="BC20" i="12"/>
  <c r="BE20" i="12" s="1"/>
  <c r="BC23" i="12"/>
  <c r="BE23" i="12" s="1"/>
  <c r="BD24" i="12"/>
  <c r="BF24" i="12" s="1"/>
  <c r="BD23" i="12"/>
  <c r="BF23" i="12" s="1"/>
  <c r="BC22" i="12"/>
  <c r="BE22" i="12" s="1"/>
  <c r="BD20" i="12"/>
  <c r="BF20" i="12" s="1"/>
  <c r="BC19" i="12"/>
  <c r="BE19" i="12" s="1"/>
  <c r="BG19" i="12" s="1"/>
  <c r="BC21" i="12"/>
  <c r="BE21" i="12" s="1"/>
  <c r="BD19" i="12"/>
  <c r="BF19" i="12" s="1"/>
  <c r="BH19" i="12" s="1"/>
  <c r="BC24" i="12"/>
  <c r="BE24" i="12" s="1"/>
  <c r="BD21" i="12"/>
  <c r="BF21" i="12" s="1"/>
  <c r="BD22" i="12"/>
  <c r="BF22" i="12" s="1"/>
  <c r="BC57" i="12"/>
  <c r="BE57" i="12" s="1"/>
  <c r="BC55" i="12"/>
  <c r="BE55" i="12" s="1"/>
  <c r="BG55" i="12" s="1"/>
  <c r="BC58" i="12"/>
  <c r="BE58" i="12" s="1"/>
  <c r="BD56" i="12"/>
  <c r="BF56" i="12" s="1"/>
  <c r="BD59" i="12"/>
  <c r="BF59" i="12" s="1"/>
  <c r="BC60" i="12"/>
  <c r="BE60" i="12" s="1"/>
  <c r="BC56" i="12"/>
  <c r="BE56" i="12" s="1"/>
  <c r="BC59" i="12"/>
  <c r="BE59" i="12" s="1"/>
  <c r="BD57" i="12"/>
  <c r="BF57" i="12" s="1"/>
  <c r="BD58" i="12"/>
  <c r="BF58" i="12" s="1"/>
  <c r="BD60" i="12"/>
  <c r="BF60" i="12" s="1"/>
  <c r="BD55" i="12"/>
  <c r="BF55" i="12" s="1"/>
  <c r="BH55" i="12" s="1"/>
  <c r="BC49" i="12"/>
  <c r="BE49" i="12" s="1"/>
  <c r="BG49" i="12" s="1"/>
  <c r="BC50" i="12"/>
  <c r="BE50" i="12" s="1"/>
  <c r="BC53" i="12"/>
  <c r="BE53" i="12" s="1"/>
  <c r="BC54" i="12"/>
  <c r="BE54" i="12" s="1"/>
  <c r="BC52" i="12"/>
  <c r="BE52" i="12" s="1"/>
  <c r="BC51" i="12"/>
  <c r="BE51" i="12" s="1"/>
  <c r="BD51" i="12"/>
  <c r="BF51" i="12" s="1"/>
  <c r="BD53" i="12"/>
  <c r="BF53" i="12" s="1"/>
  <c r="BD54" i="12"/>
  <c r="BF54" i="12" s="1"/>
  <c r="BD49" i="12"/>
  <c r="BF49" i="12" s="1"/>
  <c r="BH49" i="12" s="1"/>
  <c r="BD50" i="12"/>
  <c r="BF50" i="12" s="1"/>
  <c r="BD52" i="12"/>
  <c r="BF52" i="12" s="1"/>
  <c r="BD81" i="12"/>
  <c r="BF81" i="12" s="1"/>
  <c r="BD82" i="12"/>
  <c r="BF82" i="12" s="1"/>
  <c r="BD84" i="12"/>
  <c r="BF84" i="12" s="1"/>
  <c r="BD79" i="12"/>
  <c r="BF79" i="12" s="1"/>
  <c r="BH79" i="12" s="1"/>
  <c r="BD80" i="12"/>
  <c r="BF80" i="12" s="1"/>
  <c r="BD83" i="12"/>
  <c r="BF83" i="12" s="1"/>
  <c r="BC83" i="12"/>
  <c r="BE83" i="12" s="1"/>
  <c r="BC79" i="12"/>
  <c r="BE79" i="12" s="1"/>
  <c r="BG79" i="12" s="1"/>
  <c r="BC82" i="12"/>
  <c r="BE82" i="12" s="1"/>
  <c r="BC81" i="12"/>
  <c r="BE81" i="12" s="1"/>
  <c r="BC84" i="12"/>
  <c r="BE84" i="12" s="1"/>
  <c r="BC80" i="12"/>
  <c r="BE80" i="12" s="1"/>
  <c r="BD107" i="12"/>
  <c r="BF107" i="12" s="1"/>
  <c r="BD105" i="12"/>
  <c r="BF105" i="12" s="1"/>
  <c r="BC107" i="12"/>
  <c r="BE107" i="12" s="1"/>
  <c r="BC103" i="12"/>
  <c r="BE103" i="12" s="1"/>
  <c r="BG103" i="12" s="1"/>
  <c r="BD106" i="12"/>
  <c r="BF106" i="12" s="1"/>
  <c r="BC105" i="12"/>
  <c r="BE105" i="12" s="1"/>
  <c r="BD104" i="12"/>
  <c r="BF104" i="12" s="1"/>
  <c r="BD108" i="12"/>
  <c r="BF108" i="12" s="1"/>
  <c r="BC104" i="12"/>
  <c r="BE104" i="12" s="1"/>
  <c r="BD103" i="12"/>
  <c r="BF103" i="12" s="1"/>
  <c r="BH103" i="12" s="1"/>
  <c r="BC108" i="12"/>
  <c r="BE108" i="12" s="1"/>
  <c r="BC106" i="12"/>
  <c r="BE106" i="12" s="1"/>
  <c r="BD77" i="12"/>
  <c r="BF77" i="12" s="1"/>
  <c r="BD74" i="12"/>
  <c r="BF74" i="12" s="1"/>
  <c r="BD76" i="12"/>
  <c r="BF76" i="12" s="1"/>
  <c r="BC78" i="12"/>
  <c r="BE78" i="12" s="1"/>
  <c r="BD78" i="12"/>
  <c r="BF78" i="12" s="1"/>
  <c r="BC73" i="12"/>
  <c r="BE73" i="12" s="1"/>
  <c r="BG73" i="12" s="1"/>
  <c r="BC75" i="12"/>
  <c r="BE75" i="12" s="1"/>
  <c r="BC76" i="12"/>
  <c r="BE76" i="12" s="1"/>
  <c r="BD73" i="12"/>
  <c r="BF73" i="12" s="1"/>
  <c r="BH73" i="12" s="1"/>
  <c r="BC74" i="12"/>
  <c r="BE74" i="12" s="1"/>
  <c r="BD75" i="12"/>
  <c r="BF75" i="12" s="1"/>
  <c r="BC77" i="12"/>
  <c r="BE77" i="12" s="1"/>
  <c r="BD95" i="12"/>
  <c r="BF95" i="12" s="1"/>
  <c r="BD93" i="12"/>
  <c r="BF93" i="12" s="1"/>
  <c r="BD96" i="12"/>
  <c r="BF96" i="12" s="1"/>
  <c r="BD91" i="12"/>
  <c r="BF91" i="12" s="1"/>
  <c r="BH91" i="12" s="1"/>
  <c r="BC96" i="12"/>
  <c r="BE96" i="12" s="1"/>
  <c r="BD94" i="12"/>
  <c r="BF94" i="12" s="1"/>
  <c r="BC94" i="12"/>
  <c r="BE94" i="12" s="1"/>
  <c r="BC91" i="12"/>
  <c r="BE91" i="12" s="1"/>
  <c r="BG91" i="12" s="1"/>
  <c r="BD92" i="12"/>
  <c r="BF92" i="12" s="1"/>
  <c r="BC93" i="12"/>
  <c r="BE93" i="12" s="1"/>
  <c r="BC92" i="12"/>
  <c r="BE92" i="12" s="1"/>
  <c r="BC95" i="12"/>
  <c r="BE95" i="12" s="1"/>
  <c r="BC70" i="12"/>
  <c r="BE70" i="12" s="1"/>
  <c r="BC67" i="12"/>
  <c r="BE67" i="12" s="1"/>
  <c r="BG67" i="12" s="1"/>
  <c r="BC72" i="12"/>
  <c r="BE72" i="12" s="1"/>
  <c r="BC71" i="12"/>
  <c r="BE71" i="12" s="1"/>
  <c r="BC69" i="12"/>
  <c r="BE69" i="12" s="1"/>
  <c r="BC68" i="12"/>
  <c r="BE68" i="12" s="1"/>
  <c r="BD68" i="12"/>
  <c r="BF68" i="12" s="1"/>
  <c r="BD67" i="12"/>
  <c r="BF67" i="12" s="1"/>
  <c r="BH67" i="12" s="1"/>
  <c r="BD69" i="12"/>
  <c r="BF69" i="12" s="1"/>
  <c r="BD71" i="12"/>
  <c r="BF71" i="12" s="1"/>
  <c r="BD72" i="12"/>
  <c r="BF72" i="12" s="1"/>
  <c r="BD70" i="12"/>
  <c r="BF70" i="12" s="1"/>
  <c r="BD116" i="12"/>
  <c r="BF116" i="12" s="1"/>
  <c r="BD117" i="12"/>
  <c r="BF117" i="12" s="1"/>
  <c r="BD119" i="12"/>
  <c r="BF119" i="12" s="1"/>
  <c r="BC116" i="12"/>
  <c r="BE116" i="12" s="1"/>
  <c r="BC119" i="12"/>
  <c r="BE119" i="12" s="1"/>
  <c r="BC115" i="12"/>
  <c r="BE115" i="12" s="1"/>
  <c r="BG115" i="12" s="1"/>
  <c r="BD118" i="12"/>
  <c r="BF118" i="12" s="1"/>
  <c r="BC117" i="12"/>
  <c r="BE117" i="12" s="1"/>
  <c r="BC120" i="12"/>
  <c r="BE120" i="12" s="1"/>
  <c r="BD120" i="12"/>
  <c r="BF120" i="12" s="1"/>
  <c r="BD115" i="12"/>
  <c r="BF115" i="12" s="1"/>
  <c r="BH115" i="12" s="1"/>
  <c r="BC118" i="12"/>
  <c r="BE118" i="12" s="1"/>
  <c r="BD126" i="12"/>
  <c r="BF126" i="12" s="1"/>
  <c r="BD121" i="12"/>
  <c r="BF121" i="12" s="1"/>
  <c r="BH121" i="12" s="1"/>
  <c r="BD123" i="12"/>
  <c r="BF123" i="12" s="1"/>
  <c r="BD125" i="12"/>
  <c r="BF125" i="12" s="1"/>
  <c r="BD122" i="12"/>
  <c r="BF122" i="12" s="1"/>
  <c r="BD124" i="12"/>
  <c r="BF124" i="12" s="1"/>
  <c r="BC124" i="12"/>
  <c r="BE124" i="12" s="1"/>
  <c r="BC126" i="12"/>
  <c r="BE126" i="12" s="1"/>
  <c r="BC123" i="12"/>
  <c r="BE123" i="12" s="1"/>
  <c r="BC122" i="12"/>
  <c r="BE122" i="12" s="1"/>
  <c r="BC125" i="12"/>
  <c r="BE125" i="12" s="1"/>
  <c r="BC121" i="12"/>
  <c r="BE121" i="12" s="1"/>
  <c r="BG121" i="12" s="1"/>
  <c r="BG7" i="12"/>
  <c r="BD110" i="12"/>
  <c r="BF110" i="12" s="1"/>
  <c r="BD112" i="12"/>
  <c r="BF112" i="12" s="1"/>
  <c r="BD109" i="12"/>
  <c r="BF109" i="12" s="1"/>
  <c r="BH109" i="12" s="1"/>
  <c r="BC110" i="12"/>
  <c r="BE110" i="12" s="1"/>
  <c r="BC111" i="12"/>
  <c r="BE111" i="12" s="1"/>
  <c r="BD111" i="12"/>
  <c r="BF111" i="12" s="1"/>
  <c r="BC109" i="12"/>
  <c r="BE109" i="12" s="1"/>
  <c r="BG109" i="12" s="1"/>
  <c r="BD114" i="12"/>
  <c r="BF114" i="12" s="1"/>
  <c r="BC114" i="12"/>
  <c r="BE114" i="12" s="1"/>
  <c r="BC113" i="12"/>
  <c r="BE113" i="12" s="1"/>
  <c r="BD113" i="12"/>
  <c r="BF113" i="12" s="1"/>
  <c r="BC112" i="12"/>
  <c r="BE112" i="12" s="1"/>
  <c r="BC45" i="12"/>
  <c r="BE45" i="12" s="1"/>
  <c r="BC47" i="12"/>
  <c r="BE47" i="12" s="1"/>
  <c r="BC48" i="12"/>
  <c r="BE48" i="12" s="1"/>
  <c r="BC43" i="12"/>
  <c r="BE43" i="12" s="1"/>
  <c r="BG43" i="12" s="1"/>
  <c r="BC46" i="12"/>
  <c r="BE46" i="12" s="1"/>
  <c r="BC44" i="12"/>
  <c r="BE44" i="12" s="1"/>
  <c r="BD45" i="12"/>
  <c r="BF45" i="12" s="1"/>
  <c r="BD46" i="12"/>
  <c r="BF46" i="12" s="1"/>
  <c r="BD48" i="12"/>
  <c r="BF48" i="12" s="1"/>
  <c r="BD47" i="12"/>
  <c r="BF47" i="12" s="1"/>
  <c r="BD44" i="12"/>
  <c r="BF44" i="12" s="1"/>
  <c r="BD43" i="12"/>
  <c r="BF43" i="12" s="1"/>
  <c r="BH43" i="12" s="1"/>
  <c r="BI43" i="12" s="1"/>
  <c r="BC29" i="12"/>
  <c r="BE29" i="12" s="1"/>
  <c r="BC25" i="12"/>
  <c r="BE25" i="12" s="1"/>
  <c r="BG25" i="12" s="1"/>
  <c r="BC30" i="12"/>
  <c r="BE30" i="12" s="1"/>
  <c r="BC28" i="12"/>
  <c r="BE28" i="12" s="1"/>
  <c r="BC26" i="12"/>
  <c r="BE26" i="12" s="1"/>
  <c r="BC27" i="12"/>
  <c r="BE27" i="12" s="1"/>
  <c r="BD27" i="12"/>
  <c r="BF27" i="12" s="1"/>
  <c r="BD29" i="12"/>
  <c r="BF29" i="12" s="1"/>
  <c r="BD30" i="12"/>
  <c r="BF30" i="12" s="1"/>
  <c r="BD25" i="12"/>
  <c r="BF25" i="12" s="1"/>
  <c r="BH25" i="12" s="1"/>
  <c r="BD26" i="12"/>
  <c r="BF26" i="12" s="1"/>
  <c r="BD28" i="12"/>
  <c r="BF28" i="12" s="1"/>
  <c r="BD87" i="12"/>
  <c r="BF87" i="12" s="1"/>
  <c r="BD89" i="12"/>
  <c r="BF89" i="12" s="1"/>
  <c r="BC85" i="12"/>
  <c r="BE85" i="12" s="1"/>
  <c r="BG85" i="12" s="1"/>
  <c r="BC86" i="12"/>
  <c r="BE86" i="12" s="1"/>
  <c r="BD90" i="12"/>
  <c r="BF90" i="12" s="1"/>
  <c r="BC89" i="12"/>
  <c r="BE89" i="12" s="1"/>
  <c r="BD85" i="12"/>
  <c r="BF85" i="12" s="1"/>
  <c r="BH85" i="12" s="1"/>
  <c r="BI85" i="12" s="1"/>
  <c r="BD86" i="12"/>
  <c r="BF86" i="12" s="1"/>
  <c r="BC87" i="12"/>
  <c r="BE87" i="12" s="1"/>
  <c r="BD88" i="12"/>
  <c r="BF88" i="12" s="1"/>
  <c r="BC88" i="12"/>
  <c r="BE88" i="12" s="1"/>
  <c r="BC90" i="12"/>
  <c r="BE90" i="12" s="1"/>
  <c r="BC63" i="12"/>
  <c r="BE63" i="12" s="1"/>
  <c r="BC65" i="12"/>
  <c r="BE65" i="12" s="1"/>
  <c r="BC61" i="12"/>
  <c r="BE61" i="12" s="1"/>
  <c r="BG61" i="12" s="1"/>
  <c r="BC66" i="12"/>
  <c r="BE66" i="12" s="1"/>
  <c r="BC64" i="12"/>
  <c r="BE64" i="12" s="1"/>
  <c r="BC62" i="12"/>
  <c r="BE62" i="12" s="1"/>
  <c r="BD61" i="12"/>
  <c r="BF61" i="12" s="1"/>
  <c r="BH61" i="12" s="1"/>
  <c r="BD66" i="12"/>
  <c r="BF66" i="12" s="1"/>
  <c r="BD64" i="12"/>
  <c r="BF64" i="12" s="1"/>
  <c r="BD63" i="12"/>
  <c r="BF63" i="12" s="1"/>
  <c r="BD65" i="12"/>
  <c r="BF65" i="12" s="1"/>
  <c r="BD62" i="12"/>
  <c r="BF62" i="12" s="1"/>
  <c r="BC42" i="12"/>
  <c r="BE42" i="12" s="1"/>
  <c r="BC39" i="12"/>
  <c r="BE39" i="12" s="1"/>
  <c r="BC37" i="12"/>
  <c r="BE37" i="12" s="1"/>
  <c r="BG37" i="12" s="1"/>
  <c r="BC41" i="12"/>
  <c r="BE41" i="12" s="1"/>
  <c r="BC38" i="12"/>
  <c r="BE38" i="12" s="1"/>
  <c r="BD40" i="12"/>
  <c r="BF40" i="12" s="1"/>
  <c r="BC40" i="12"/>
  <c r="BE40" i="12" s="1"/>
  <c r="BD42" i="12"/>
  <c r="BF42" i="12" s="1"/>
  <c r="BD41" i="12"/>
  <c r="BF41" i="12" s="1"/>
  <c r="BD39" i="12"/>
  <c r="BF39" i="12" s="1"/>
  <c r="BD37" i="12"/>
  <c r="BF37" i="12" s="1"/>
  <c r="BH37" i="12" s="1"/>
  <c r="BI37" i="12" s="1"/>
  <c r="BD38" i="12"/>
  <c r="BF38" i="12" s="1"/>
  <c r="AT107" i="10" l="1"/>
  <c r="AU107" i="10" s="1"/>
  <c r="AT16" i="10"/>
  <c r="AU16" i="10" s="1"/>
  <c r="AR11" i="10"/>
  <c r="AT11" i="10" s="1"/>
  <c r="AU11" i="10" s="1"/>
  <c r="AT159" i="10"/>
  <c r="AU159" i="10" s="1"/>
  <c r="AT179" i="10"/>
  <c r="AU179" i="10" s="1"/>
  <c r="AT175" i="10"/>
  <c r="AU175" i="10" s="1"/>
  <c r="AT212" i="10"/>
  <c r="AU212" i="10" s="1"/>
  <c r="AT192" i="10"/>
  <c r="AU192" i="10" s="1"/>
  <c r="AT103" i="10"/>
  <c r="AU103" i="10" s="1"/>
  <c r="AT39" i="10"/>
  <c r="AU39" i="10" s="1"/>
  <c r="AT143" i="10"/>
  <c r="AU143" i="10" s="1"/>
  <c r="AT216" i="10"/>
  <c r="AU216" i="10" s="1"/>
  <c r="AR7" i="10"/>
  <c r="AT7" i="10" s="1"/>
  <c r="AU7" i="10" s="1"/>
  <c r="AT27" i="10"/>
  <c r="AU27" i="10" s="1"/>
  <c r="AT167" i="10"/>
  <c r="AU167" i="10" s="1"/>
  <c r="AT55" i="10"/>
  <c r="AU55" i="10" s="1"/>
  <c r="AT99" i="10"/>
  <c r="AU99" i="10" s="1"/>
  <c r="AT71" i="10"/>
  <c r="AU71" i="10" s="1"/>
  <c r="AT123" i="10"/>
  <c r="AU123" i="10" s="1"/>
  <c r="AT232" i="10"/>
  <c r="AU232" i="10" s="1"/>
  <c r="AT188" i="10"/>
  <c r="AU188" i="10" s="1"/>
  <c r="AT155" i="10"/>
  <c r="AU155" i="10" s="1"/>
  <c r="AT119" i="10"/>
  <c r="AU119" i="10" s="1"/>
  <c r="AT200" i="10"/>
  <c r="AU200" i="10" s="1"/>
  <c r="AT75" i="10"/>
  <c r="AU75" i="10" s="1"/>
  <c r="AT163" i="10"/>
  <c r="AU163" i="10" s="1"/>
  <c r="AT87" i="10"/>
  <c r="AU87" i="10" s="1"/>
  <c r="AT131" i="10"/>
  <c r="AU131" i="10" s="1"/>
  <c r="AT147" i="10"/>
  <c r="AU147" i="10" s="1"/>
  <c r="AT59" i="10"/>
  <c r="AU59" i="10" s="1"/>
  <c r="AT228" i="10"/>
  <c r="AU228" i="10" s="1"/>
  <c r="AT67" i="10"/>
  <c r="AU67" i="10" s="1"/>
  <c r="AT23" i="10"/>
  <c r="AU23" i="10" s="1"/>
  <c r="AT83" i="10"/>
  <c r="AU83" i="10" s="1"/>
  <c r="AT79" i="10"/>
  <c r="AU79" i="10" s="1"/>
  <c r="AT208" i="10"/>
  <c r="AU208" i="10" s="1"/>
  <c r="AT139" i="10"/>
  <c r="AU139" i="10" s="1"/>
  <c r="AT171" i="10"/>
  <c r="AU171" i="10" s="1"/>
  <c r="AT151" i="10"/>
  <c r="AU151" i="10" s="1"/>
  <c r="BI97" i="12"/>
  <c r="BI61" i="12"/>
  <c r="BI31" i="12"/>
  <c r="BI103" i="12"/>
  <c r="BI121" i="12"/>
  <c r="BI73" i="12"/>
  <c r="BI13" i="12"/>
  <c r="BI49" i="12"/>
  <c r="BI7" i="12"/>
  <c r="BI79" i="12"/>
  <c r="BI109" i="12"/>
  <c r="BI115" i="12"/>
  <c r="BI67" i="12"/>
  <c r="BI91" i="12"/>
  <c r="BI55" i="12"/>
  <c r="BI25" i="12"/>
  <c r="BI19" i="12"/>
</calcChain>
</file>

<file path=xl/comments1.xml><?xml version="1.0" encoding="utf-8"?>
<comments xmlns="http://schemas.openxmlformats.org/spreadsheetml/2006/main">
  <authors>
    <author>DIGITAL EXITO</author>
  </authors>
  <commentList>
    <comment ref="O6" authorId="0" shapeId="0">
      <text>
        <r>
          <rPr>
            <b/>
            <sz val="9"/>
            <color indexed="81"/>
            <rFont val="Tahoma"/>
            <family val="2"/>
          </rPr>
          <t>MJD:</t>
        </r>
        <r>
          <rPr>
            <sz val="9"/>
            <color indexed="81"/>
            <rFont val="Tahoma"/>
            <family val="2"/>
          </rPr>
          <t xml:space="preserve">
Para una CORRECTA descripción del Control, remitirse a la Hoja CONTROLES</t>
        </r>
      </text>
    </comment>
  </commentList>
</comments>
</file>

<file path=xl/comments2.xml><?xml version="1.0" encoding="utf-8"?>
<comments xmlns="http://schemas.openxmlformats.org/spreadsheetml/2006/main">
  <authors>
    <author>DIGITAL EXITO</author>
  </authors>
  <commentList>
    <comment ref="AG6" authorId="0" shapeId="0">
      <text>
        <r>
          <rPr>
            <b/>
            <sz val="9"/>
            <color indexed="81"/>
            <rFont val="Tahoma"/>
            <family val="2"/>
          </rPr>
          <t xml:space="preserve">MJD:
</t>
        </r>
        <r>
          <rPr>
            <sz val="9"/>
            <color indexed="81"/>
            <rFont val="Tahoma"/>
            <family val="2"/>
          </rPr>
          <t>Para una CORRECTA descripción del Control, remitirse a la Hoja CONTROLES</t>
        </r>
      </text>
    </comment>
  </commentList>
</comments>
</file>

<file path=xl/comments3.xml><?xml version="1.0" encoding="utf-8"?>
<comments xmlns="http://schemas.openxmlformats.org/spreadsheetml/2006/main">
  <authors>
    <author>DIGITAL EXITO</author>
    <author>Usuario de Windows</author>
  </authors>
  <commentList>
    <comment ref="BJ4" authorId="0" shapeId="0">
      <text>
        <r>
          <rPr>
            <b/>
            <sz val="9"/>
            <color indexed="81"/>
            <rFont val="Tahoma"/>
            <family val="2"/>
          </rPr>
          <t>DIGITAL EXITO:</t>
        </r>
        <r>
          <rPr>
            <sz val="9"/>
            <color indexed="81"/>
            <rFont val="Tahoma"/>
            <family val="2"/>
          </rPr>
          <t xml:space="preserve">
Diligenciar cuando la medida de respuesta sea diferente a </t>
        </r>
        <r>
          <rPr>
            <b/>
            <i/>
            <sz val="14"/>
            <color indexed="81"/>
            <rFont val="Tahoma"/>
            <family val="2"/>
          </rPr>
          <t>Asumir el Riesgo</t>
        </r>
      </text>
    </comment>
    <comment ref="M6" authorId="1" shapeId="0">
      <text>
        <r>
          <rPr>
            <b/>
            <sz val="16"/>
            <color indexed="81"/>
            <rFont val="Tahoma"/>
            <family val="2"/>
          </rPr>
          <t xml:space="preserve">MJD:
</t>
        </r>
        <r>
          <rPr>
            <sz val="16"/>
            <color indexed="81"/>
            <rFont val="Tahoma"/>
            <family val="2"/>
          </rPr>
          <t>Remitirse a la pestaña Probabilidad Seguridad Informac</t>
        </r>
      </text>
    </comment>
    <comment ref="O6" authorId="1" shapeId="0">
      <text>
        <r>
          <rPr>
            <b/>
            <sz val="18"/>
            <color indexed="81"/>
            <rFont val="Tahoma"/>
            <family val="2"/>
          </rPr>
          <t>MJD:</t>
        </r>
        <r>
          <rPr>
            <sz val="18"/>
            <color indexed="81"/>
            <rFont val="Tahoma"/>
            <family val="2"/>
          </rPr>
          <t xml:space="preserve">
Remitirse a la Guía de Administración de Riesgos - G-MC-04 para la tabla de Impactos de Riesgos de Seguridad Digital</t>
        </r>
      </text>
    </comment>
    <comment ref="U6" authorId="0" shapeId="0">
      <text>
        <r>
          <rPr>
            <b/>
            <sz val="9"/>
            <color indexed="81"/>
            <rFont val="Tahoma"/>
            <family val="2"/>
          </rPr>
          <t>MJD:</t>
        </r>
        <r>
          <rPr>
            <sz val="9"/>
            <color indexed="81"/>
            <rFont val="Tahoma"/>
            <family val="2"/>
          </rPr>
          <t xml:space="preserve">
Para una CORRECTA descripción del Control, remitirse a la Hoja CONTROLES</t>
        </r>
      </text>
    </comment>
    <comment ref="BG6" authorId="1" shapeId="0">
      <text>
        <r>
          <rPr>
            <b/>
            <sz val="9"/>
            <color indexed="81"/>
            <rFont val="Tahoma"/>
            <family val="2"/>
          </rPr>
          <t xml:space="preserve">Ministerio de Justicia y del Derecho: </t>
        </r>
        <r>
          <rPr>
            <sz val="9"/>
            <color indexed="81"/>
            <rFont val="Tahoma"/>
            <family val="2"/>
          </rPr>
          <t>Revisar la pestaña de probabilidad de seg. De la información</t>
        </r>
        <r>
          <rPr>
            <sz val="9"/>
            <color indexed="81"/>
            <rFont val="Tahoma"/>
            <family val="2"/>
          </rPr>
          <t xml:space="preserve">
</t>
        </r>
      </text>
    </comment>
    <comment ref="BH6" authorId="1" shapeId="0">
      <text>
        <r>
          <rPr>
            <b/>
            <sz val="9"/>
            <color indexed="81"/>
            <rFont val="Tahoma"/>
            <family val="2"/>
          </rPr>
          <t>Ministerio de Justicia y del Derecho:</t>
        </r>
        <r>
          <rPr>
            <sz val="9"/>
            <color indexed="81"/>
            <rFont val="Tahoma"/>
            <family val="2"/>
          </rPr>
          <t xml:space="preserve">
Revisar Guía de  administración de riesgos del Ministerio de Justicia y del Derecho</t>
        </r>
      </text>
    </comment>
  </commentList>
</comments>
</file>

<file path=xl/sharedStrings.xml><?xml version="1.0" encoding="utf-8"?>
<sst xmlns="http://schemas.openxmlformats.org/spreadsheetml/2006/main" count="4641" uniqueCount="1638">
  <si>
    <t>Código: F-MC-G04-01
Versión: 6</t>
  </si>
  <si>
    <t>Herramienta de Administración de Riesgos</t>
  </si>
  <si>
    <t>IDENTIFICACIÓN DEL RIESGO</t>
  </si>
  <si>
    <t>ÁNALISIS DEL RIESGO</t>
  </si>
  <si>
    <t>EVALUACIÓN DEL RIESGO</t>
  </si>
  <si>
    <t>MEDIDAS DE RESPUESTA</t>
  </si>
  <si>
    <t>PLAN DE TRATAMIENTO</t>
  </si>
  <si>
    <t>MONITOREO
(líder del proceso)</t>
  </si>
  <si>
    <t>SEGUIMIENTO
Oficina de Control Interno</t>
  </si>
  <si>
    <t>Riesgo Inherente</t>
  </si>
  <si>
    <t>CONTROLES</t>
  </si>
  <si>
    <t>Diseño del Control</t>
  </si>
  <si>
    <t>Ejecución del Control</t>
  </si>
  <si>
    <t>Solidez Individual de cada Control</t>
  </si>
  <si>
    <t>Solidez del Conjunto de Controles</t>
  </si>
  <si>
    <t>Riesgo Residual</t>
  </si>
  <si>
    <t>N°</t>
  </si>
  <si>
    <t>PROCESO</t>
  </si>
  <si>
    <t>OBJETIVO DEL PROCESO</t>
  </si>
  <si>
    <t xml:space="preserve"> RIESGO</t>
  </si>
  <si>
    <t>Tipo de Riesgo</t>
  </si>
  <si>
    <t>OBJETIVOS ESTRATÉGICOS RELACIONADOS</t>
  </si>
  <si>
    <t>CAUSA</t>
  </si>
  <si>
    <t>Clasificación de la Causa</t>
  </si>
  <si>
    <t>CONSECUENCIAS</t>
  </si>
  <si>
    <t>PROBABILIDAD</t>
  </si>
  <si>
    <t>IMPACTO</t>
  </si>
  <si>
    <t xml:space="preserve">EVALUACIÓN </t>
  </si>
  <si>
    <t>DESCRIPCIÓN DEL CONTROL</t>
  </si>
  <si>
    <t>Causa que ataca</t>
  </si>
  <si>
    <t>CLASE DE CONTROL EXISTENTE</t>
  </si>
  <si>
    <t>1. ¿Existe un responsable asignado de la ejecución?</t>
  </si>
  <si>
    <t>2. ¿El responsable tiene la autoridad y adecuada segregación de funciones en la ejecución del control?</t>
  </si>
  <si>
    <t>3. ¿La oportunidad en que se ejecuta el control ayuda a prevenir la mitigación del riesgo o a detectar la materialización del riesgo en manera oportuna?</t>
  </si>
  <si>
    <t>4. ¿Las actividades que desarrollan en el control realmente buscan por si sola prevenir o detectar las causas que puedan dar origen al riesgo, ejemplo: Verificar, Validar, Cotejar, Comparar, Revisar?</t>
  </si>
  <si>
    <t>5. ¿La fuente de Información que se utiliza en el desarrollo del control es información confiable que permita mitigar el riesgo?</t>
  </si>
  <si>
    <t>6. ¿Las observaciones, desviaciones o diferencias identificadas como resultados de la ejecución del control son investigadas y resueltas de manera oportuna?</t>
  </si>
  <si>
    <t>7. ¿Se deja evidencia o rastro de la ejecución del control, que permita cualquier tercero con la evidencia, llegar a la misma conclusión?</t>
  </si>
  <si>
    <t>Total Diseño de Control</t>
  </si>
  <si>
    <t>RANGO DE CALIFICACIÓN DEL DISEÑO</t>
  </si>
  <si>
    <t>NIVEL DE EJECUCIÓN DEL CONTROL</t>
  </si>
  <si>
    <t>RANGO DE CALIFICACIÓN DE LA EJECUCIÓN</t>
  </si>
  <si>
    <t>SOLIDEZ INDIVIDUAL DE CADA CONTROL</t>
  </si>
  <si>
    <t>Total Solidez Individual</t>
  </si>
  <si>
    <t xml:space="preserve">Promedio de los Controles de  Riesgo </t>
  </si>
  <si>
    <t xml:space="preserve">CALIFICACIÓN DE LA SOLIDEZ DEL CONJUNTO DE CONTROLES </t>
  </si>
  <si>
    <t>Casillas que mueve en Probabilidad</t>
  </si>
  <si>
    <t>Casillas que mueve en Impacto</t>
  </si>
  <si>
    <t>OPCIONES DE MANEJO</t>
  </si>
  <si>
    <t>ACCIONES</t>
  </si>
  <si>
    <t>PERIODICIDAD</t>
  </si>
  <si>
    <t>FECHA INICIO</t>
  </si>
  <si>
    <t>FECHA FINAL</t>
  </si>
  <si>
    <t>RESPONSABLE</t>
  </si>
  <si>
    <t>REGISTRO O EVIDENCIA</t>
  </si>
  <si>
    <t>MONITOREO 1</t>
  </si>
  <si>
    <t>MONITOREO 2</t>
  </si>
  <si>
    <t>MONITOREO 3</t>
  </si>
  <si>
    <t>SEGUIMIENTO 1</t>
  </si>
  <si>
    <t>SEGUIMIENTO 2</t>
  </si>
  <si>
    <t>SEGUIMIENTO 3</t>
  </si>
  <si>
    <t>Gestión Documental</t>
  </si>
  <si>
    <t>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 MinTic.</t>
  </si>
  <si>
    <t>Posibilidad de afectación económica por la inoportunidad en la radicación y entrega de comunicaciones oficiales, debido a errores en el direccionamiento y asignación de tipificaciones a las comunicaciones.</t>
  </si>
  <si>
    <t>Riesgo Financiero</t>
  </si>
  <si>
    <t>7-Fortalecer la gestión institucional, para asegurar la calidad en el servicio con eficiencia, transparencia, innovación y enfoque diferencial e inclusivo, soportada en la gestión de la información, el uso de las tecnologías y el desarrollo humano.</t>
  </si>
  <si>
    <t xml:space="preserve">Direccionamiento erróneo de las comunicaciones por la falta de capacitación del personal que realiza la radicación y de las dependencias sobre el tipo de solicitud </t>
  </si>
  <si>
    <t>Interna</t>
  </si>
  <si>
    <t xml:space="preserve">1-Sanciones por incumplimiento de los términos establecidos para la respuesta de comunicaciones </t>
  </si>
  <si>
    <t>Casi seguro</t>
  </si>
  <si>
    <t>Menor</t>
  </si>
  <si>
    <t xml:space="preserve"> El Técnico, Profesional o Contratista del Grupo de Gestión Documental designado, semestralmente, programará  capacitaciones a las dependencias sobre uso del Sistema de Gestión Documental Electrónica y de Archivos (SGDEA) y las políticas de radicación, con el fin de garantizar una adecuada gestión de las comunicaciones al interior de la entidad. Se identificarán a las personas que no asistan a las capacitaciones inicialmente programadas, para ser convocadas nuevamente en una sesión en el segundo semestre de la vigencia.
Evidencia: Registro de asistencia de las capacitaciones realizadas y reporte de inasistencia </t>
  </si>
  <si>
    <t>Preventivo</t>
  </si>
  <si>
    <t>Si</t>
  </si>
  <si>
    <t>Completa</t>
  </si>
  <si>
    <t>Siempre</t>
  </si>
  <si>
    <t>El riesgo no se materializo. En atención a la capacitación del 11 de abril, se realizó la reformulación del riesgo desde su Descripción el Diseño del control, Ejecución del Control, Solidez Individual de cada Control, Solidez del Conjunto de Controles, de acuerdo con el resultado del calculo del Riesgo Residual, por lo que no requierio de Plan de tratamiento conforme a la GUIA G-MC-04 de Administración del Riesgo. 
Control 1: Se adjunta como evidencia presentación y  listas de asistencia de la capacitacion sobre el correcto uso del aplicativo SGDEA, con temas como son elaboración de documentos, respuesta múltiple, respuesta masiva, combinación de correspondencia, creación de particulares, búsquedas, consultas de documentos y generación de reportes, realizada el 7 de Marzo.
Control 2: El control fue incorporado al riesgo en el mes de Abril de 2024, y será implementada a partir del II-Cuatrimestre del 2025, considerando su efectividad y aporte a la mitigación de la materialización del riesgo, por lo tanto, aun no se cuenta con evidencias de ejecución.
Control 3: Detalle de la relación en Excel sobre cambios de tipificación de corte (enero al 30 de abril)
Durante el periodo comprendido entre enero y el 30 de abril, se realizaron un total de 918 cambios de tipificación. En el informe detallado, se identifica con la indicación "SI" en la columna Q aquellos casos en los que el cambio de tipificación se debió a un error en la radicación, los cuales corresponden a 292 casos, es decir, el 32 % del total de cambios realizados.</t>
  </si>
  <si>
    <t xml:space="preserve">El riesgo de la inadecuada gestión de comunicaciones no se materializó en este periodo. En atención a sus observaciones, hemos optimizado nuestros esfuerzos y recursos para garantizar la calidad y correcta distribución de la correspondencia. Para ello, se implementaron las siguientes acciones de control.
1.Control - Capacitación y Uso del Sistema SGDEA
Con el fin de mitigar el riesgo de direccionamiento erróneo de las comunicaciones, se programaron y realizaron 8 capacitaciones a las dependencias sobre el uso del Sistema de Gestión Documental Electrónica  de Archivos (SGDEA), correcta utilización y aplicación de esta herramienta en los procesos documentales con el fin de optimizar la gestión de documentos electrónicos, garantizar el cumplimiento de los lineamientos establecidos y mejorar la trazabilidad, accesibilidad y eficiencia en el manejo de la información institucional. Como evidencia, se dispone del registro de asistencia de los participantes.
2. Control de Tipificaciones de Documentos
Se estableció un control permanente para revisar y tramitar los cambios en la clasificación de documentos, basándose en la justificación técnica y jurídica solicitada por correo electrónico. Se procesaron un total de 159 cambios. Como evidencia de este control, se mantiene un reporte en Excel con el registro detallado de todos los cambios. Adicionalmente, se identificó que 41 de estos radicados (25.8%) correspondían a errores iniciales. Estos casos fueron corregidos y se compartió la retroalimentación correspondiente al personal de servicios postales durante las reuniones mensuales.
3. Muestreo de Calidad del Proceso de Radicación
Para asegurar la calidad, realizamos un muestreo semanal de las comunicaciones oficiales radicadas. Durante este cuatrimestre, de un total de 31,465 radicados, se muestrearon 5,299. El propósito fue verificar que la tipificación y el direccionamiento a las dependencias fueran correctos, y cualquier inconsistencia identificada se corrigió de inmediato. Como evidencia de este control, se cuenta con un reporte en Excel del formulario de muestreo y una muestra de las correcciones, que incluyen imágenes de la trazabilidad en el SGDEA.
</t>
  </si>
  <si>
    <t>Para el presente seguimiento, se evidencia que la dependencia ha realizado ajustes en la estructura del riesgo, logrando una definición más alineada con los criterios establecidos para la identificación de riesgos.
Asimismo, se observa una actualización en los controles, los cuales presentan una redacción más específica y una estructura más clara. No obstante, en relación con el control 2, se sugiere incluir una actividad adicional orientada a generar un llamado de atención o retroalimentación a la dependencia o proceso que realiza incorrectamente el cambio de tipificación o que, según el caso, omite dicha actividad. No basta con que el GGD realice el ajuste correspondiente; es necesario también prevenir la recurrencia del error desde su origen. Esta misma recomendación aplica para el control 3.
Adicionalmente, se considera pertinente que la dependencia formule acciones dentro del plan de tratamiento que fortalezcan la implementación y efectividad de los controles existentes. Las sugerencias mencionadas respecto a los controles 2 y 3 pueden traducirse en acciones del plan de tratamiento, sin necesidad de modificar la redacción actual de dichos controles.
A partir de las evidencias presentadas, se ha podido constatar la implementación de los controles establecidos.
Finalmente, la OCI destaca el compromiso de la dependencia con la actualización y gestión de los riesgos, e invita a continuar con este ejercicio de mejora continua.</t>
  </si>
  <si>
    <t>Falta de controles en la distribución de comunicaciones.</t>
  </si>
  <si>
    <t>2-Reprocesos por la rectificación y/o corrección de errores.</t>
  </si>
  <si>
    <t>El Auxiliar, Técnico, Profesional o Contratista designado del Grupo de Gestión Documental  designado, semanalmente, realizara un muestreo de la totalidad de las comunicaciones oficiales radicadas, con el propósito de verificar la calidad de la radicación, en caso de identificar inconsistencias en la asignación de la tipificación y en el direccionamiento a las dependencias, se realizará la corrección inmediata de las comunicaciones con registros erróneos en la tipificación y asignación de la dependencia responsable.
Evidencia: Reporte en excel del formulario Muestreo de Control del Proceso de Radicación, y una muestra de las correciones con imagenes de la Trazabilidad en el SGDEA.</t>
  </si>
  <si>
    <t>El Auxiliar, Técnico o Contratista del Grupo de Gestión Documental  designado revisará de manera permanente y tramitará el cambio de tipificaciones de acuerdo con la justificación técnica y jurídica que se soliciten al correo electrónico tipologiasdocumentales@minjusticia.gov.co. En los casos en que se identifiquen errores en la radicación se retroalimentará durante las reuniones mensuales de seguimiento con el personal de servicios postales 472.
Evidencia: Reporte en excel del registro de cambio de tipificaciones.</t>
  </si>
  <si>
    <t>Detectivo</t>
  </si>
  <si>
    <t>Posibilidad de afectación reputacional por incumplimiento de las disposiciones emanadas por parte del Archivo General de la Nación, debido a debilidades en los controles establecidos para la administración de la Gestión Documental.</t>
  </si>
  <si>
    <t>Riesgo de Cumplimiento</t>
  </si>
  <si>
    <t>Inadecuada aplicación de la normatividad archivística vigente por desconocimiento.</t>
  </si>
  <si>
    <t>Pérdida de la memoria institucional. por deterioro, extravió  de los documentos  que compromete la integridad y accesibilidad del archivo.</t>
  </si>
  <si>
    <t>Posible</t>
  </si>
  <si>
    <t>Moderado</t>
  </si>
  <si>
    <t>El Técnico, Profesional o Contratista del Grupo de Gestión Documental designado, semestralmente realizara mesas técnicas con las dependencias con el fin de verificar la aplicación de lineamientos de gestion documental. En caso de identificar inconsistencias se realizarán planes de trabajo con las dependencias para seguimiento durante la vigencia.
Evidencia: Registro de Asistencias Técnicas con los temas tratados y compromisos con el plan de trabajo.</t>
  </si>
  <si>
    <t>El riesgo no se materializo. En atención a la capacitación del 11 de abril, se realizó la reformulación del riesgo desde su Descripción el Diseño del control, Ejecución del Control, Solidez Individual de cada Control, Solidez del Conjunto de Controles, de acuerdo con el resultado del calculo del Riesgo Residual, por lo que no requierio de Plan de tratamiento conforme a la GUIA G-MC-04 de Administración del Riesgo. 
Control 1: Se comparten formatos de asistencia tecnia y listado de asistencia de reunion con lineamientos archiviticos dados a las dependencias durante el I Cuatrimestre en 72 reuniones. 
Control 2:  Se adjunta como evidencia el Informe de avance de implementación del Sistema Integrado de Conservación de acuerdo al Decreto 1080 de 2015 y el Acuerdo 001 de 2024 del AGN (trimestre I)
Control 3:  Se recibieron las solicitudes de préstamo de documentos en tiempo real por el formulario Forms y se verificó su viabilidad. Se atendieron 317 solicitudes préstamos para el primer cuatrimestre del año 2025, sin novedad.
-Se adjuntan las planillas de entrega de documentos físicos en los casos en los que se confirmó el acceso a la información.</t>
  </si>
  <si>
    <t>El riesgo de control no se materializó. En respuesta a sus observaciones, La evaluación actual de nuestros controles ha demostrado que el diseño del Control 1 es eficaz y aborda integralmente las causas del riesgo. Las mesas técnicas con las dependencias funcionan como un mecanismo de planeación, seguimiento y control, asegurando que la gestión documental sea un esfuerzo coordinado y dirigido. Por lo tanto, no se considera necesaria la creación de un nuevo control específico.
Control 1: Mesas Técnicas y Lineamientos
Para verificar la correcta aplicación de los lineamientos de gestión documental, se llevaron a cabo 60 asistencias durante el segundo cuatrimestre. Como evidencia de este control, se adjuntan los formatos de asistencia técnica y las listas de asistencia a las reuniones, donde se trataron diversos lineamientos archivísticos.
Control 2: Verificación de Condiciones Ambientales
En cumplimiento de la verificación trimestral de las condiciones ambientales de los archivos, se adjunta el Informe de Avance de Implementación del Sistema Integrado de Conservación. Este informe detalla las medidas de conservación y preservación aplicadas, conforme al Decreto 1080 de 2015 y el Acuerdo 001 de 2024 del AGN, en el numeral 3. Plan de Conservación Documental-3,2  Actividades.
Control 3: Control de Préstamos y Consultas
*Se recibieron y verificaron 554 solicitudes de préstamo de documentos en tiempo real a través del formulario de la intranet, sin presentarse ninguna novedad.
*Esta actividad se soporta en las evidencias del Reporte de Power BI y el formato F-GD-06-02 - Formato de préstamos de expedientes y consulta de documentos.</t>
  </si>
  <si>
    <t>Se evidencia que la dependencia ha realizado una actualización en la definición del riesgo. No obstante, desde la OCI se recomienda revisar y validar cuál sería el impacto real de la posible materialización del riesgo. En el seguimiento anterior, se contemplaban sanciones legales y/o fiscales como consecuencia, mientras que en el presente seguimiento se ha cambiado a afectación reputacional. Por lo tanto, se sugiere realizar un análisis detallado que permita establecer o actualizar el impacto más acorde con la naturaleza del riesgo.
También se observa la actualización de los controles y la presentación de evidencias que demuestran su implementación. Sin embargo, la OCI sugiere incorporar un control específico orientado al cumplimiento de la normatividad y/o de los planes archivísticos vigentes en la entidad. En cuanto al control 1, se advierte que actualmente está asociado a dos causas, pero su diseño solo aborda adecuadamente una de ellas. Por ello, se recomienda establecer un nuevo control específico para la causa 1, con el fin de cubrir de forma integral ambas causas y prevenir la posible materialización del riesgo.
Adicionalmente, la OCI considera pertinente que la dependencia evalúe la racionalización de los riesgos, dado que en el seguimiento al riesgo de corrupción se ha identificado un riesgo que, por su naturaleza, se ajusta más a uno de gestión, y que podría unificarse con el presente.
De igual manera, es fundamental que la dependencia formule acciones dentro del plan de tratamiento que contribuyan al fortalecimiento de los controles existentes, incrementando así su efectividad.
Finalmente, la OCI resalta el compromiso de la dependencia en la actualización y administración de los riesgos, e invita a continuar con este ejercicio de mejora continua.</t>
  </si>
  <si>
    <t>Ausencia ó Incumplimiento de los procedimientos para la adecuada operación del Grupo de Gestion Documental</t>
  </si>
  <si>
    <t>Inapropiadas condiciones Ambientales,  de Infraestructura física y tecnológica para la debida Gestión Documental</t>
  </si>
  <si>
    <t>El Profesional o Contratista del Grupo de Gestión Documental designado, realizará trimestralmente la verificación del cumplimiento de las condiciones ambientales, de conservación y preservación necesarias para una adecuada gestión documental. En caso de que se identifiquen desviaciones o condiciones inadecuadas, se documentarán las medidas correctivas para la evaluación de viabilidad.
Evidencia: Informe  de Implementación del Sistema Integrado de Conservación.</t>
  </si>
  <si>
    <t>Pérdida de expedientes en custodia del Grupo de Gestion Documental</t>
  </si>
  <si>
    <t>Investigación disciplinarias o penales por la Pérdida parcial o total de expedientes.</t>
  </si>
  <si>
    <t>El Técnico, Profesional o Contratista del Grupo de Gestión Documental designado, de manera  permanente realizara el control de Préstamo y Consulta de Documentos y Expedientes conforme a lo definido en el  Procedimiento P-GD-06. En caso de que no se pueda registrar la solicitud en formulario dispuesto se deberá remitir correo al Grupo de Gestion Documental. 
Evidencia: 
-Reporte de Power BI con el registro solicitudes de prestamos en form de la intranet.
-F-GD-06-02-Formato de prestamos  de expedientes y consulta de documentos.
-F-GD-06-03-Control de Ingreso y Salida de Bodegas de archivo</t>
  </si>
  <si>
    <t>Pérdidas económicas por carencia de documentación necesaria para el  cobro de obligaciones a favor MJD</t>
  </si>
  <si>
    <t>Gestión Contractual</t>
  </si>
  <si>
    <t>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t>
  </si>
  <si>
    <t>Posibilidad de afectación económica o reputacional por la no suscripción, ejecución y/o liquidación de los contratos, debido a debilidades en los controles establecidos en las diferentes etapas de la contratación</t>
  </si>
  <si>
    <t xml:space="preserve">Causa 1: Documentos incompletos o con errores en su elaboración </t>
  </si>
  <si>
    <t>Afectar la prestación de los servicios misionales del Ministerio de Justicia y del Derecho</t>
  </si>
  <si>
    <t>Probable</t>
  </si>
  <si>
    <t>Catastrófico</t>
  </si>
  <si>
    <t>El funcionario o contratista designado por el /la Coordinador(a) del GGC, cada vez que se va a efectuar la suscripción de un contrato, verifica que la información radicada por parte de cada dependencia corresponda con los requisitos establecidos,  a través de una lista de chequeo la cual debera consultar en el SIG,  donde están los documentos requeridos y la revisión con la información física suministrada por el contratista. En caso de encontrar documentación faltante, requiere al enlace a través de correo electronico el suministro de la documentación faltante o incompleta para poder continuar con el proceso de contratación, en un plazo prudente de tal forma que no se retrase el proceso de suscripción. Evidencia: Los correos electrónicos a que hubo lugar en donde solicitó la información faltante o incompleta.</t>
  </si>
  <si>
    <t>Realizar jornadas de capacitación a los funcionarios y colaboradores de la entidad en temas precontractuales con el fin de que los documentos que se radiquen en el GGC para adelantar los procesos de contratación se remitan en debida forma y cumpliendo con los procedimientos de la entidad y la normatividad vigente.</t>
  </si>
  <si>
    <t>Semestral</t>
  </si>
  <si>
    <t>El /la Coordinador(a) del GGC o quien delegue</t>
  </si>
  <si>
    <t xml:space="preserve">  Listado de asistencia o grabación.</t>
  </si>
  <si>
    <t xml:space="preserve">No se presentó la materialización de riesgos.  Se realiza reporte con corte 30 de abril de 2025.
Se cargan las evidencias de los controles en la carpeta conpartida del OneDrive. Correos a que hubo lugar en donde solicitó la información faltante o incompleta y la base de contratos con el link del contrato en secop II- Carpeta del contratista. (181 correos)
Es necesario indicar que atendiendo las recomendaciones de la OAP y SG, en reuniones llevadas a cabo el 25 y 30 de Abril 2025, se relacionan los ajustes realizados en la matriz de gestión del GGC, así:
• Se revisa y ajusta la redacción del riesgo como “Posibilidad de afectación económica o reputacional por la no suscripción, ejecución y/o liquidación de los contratos, debido a debilidades en los controles establecidos en las diferentes etapas de la contratación“ y se reclasificó como riesgo de cumplimiento.
• Se ajusta el objetivo estratégico al de la vigencia 2025
• La columna AU “Opciones de manejo” del riesgo residual, conforme la indicación del asesor de la OAP se ajusta manualmente, ya que en los casos de riesgo residual “bajo” o “moderado” no se requiere plan de tratamiento por lo que se “Asume el riesgo”, ya que la formulación del formato no corresponde.
• Se identificaron errores en la formulación de algunos campos dentro de la matriz de riesgos, los cuales fueron corregidos conforme a los siguientes puntos:
- Las fórmulas originales consideraban únicamente la “clase de control existente (columna Q)” para el primer control registrado, omitiendo los controles adicionales relacionados al mismo riesgo. Esto generaba un cálculo incorrecto del riesgo residual.
- Se ajustaron las fórmulas de la matriz de riesgos para que el cálculo del valor residual se realice correctamente, aplicando la lógica establecida basada en el valor mínimo de los resultados obtenidos en las columnas AN, AO, AP y AQ, considerando todos los controles registrados para cada riesgo. El formato inicial no contemplaba adecuadamente esta lógica, ya que solo evaluaba el primer control, lo que generaba una valoración inexacta del riesgo residual e impactaba negativamente en su evaluación.
</t>
  </si>
  <si>
    <r>
      <t xml:space="preserve">No se presentó la materialización de riesgos.  Se realiza reporte con corte 31 de agosto de 2025.
Se cargan las evidencias tanto de los controles como de las acciones en la carpeta conpartida del OneDrive. 
</t>
    </r>
    <r>
      <rPr>
        <sz val="10"/>
        <rFont val="Arial"/>
        <family val="2"/>
      </rPr>
      <t>Correos a que hubo lugar en donde solicitó la información faltante o incompleta y la base de contratos con el link del contrato en secop II- Carpeta del contratista. (224 correos)</t>
    </r>
    <r>
      <rPr>
        <sz val="10"/>
        <color theme="1"/>
        <rFont val="Arial"/>
        <family val="2"/>
      </rPr>
      <t xml:space="preserve">
Capacitación: Precios artificialmente bajos en los procesos de contratacion, el 27 de mayo de 2025
Atendiendo las recomendaciones de la OCI se realizó reunión con la OAP y SG el 20 de agosto de 2025, ajustando lo siguiente:
1. El impacto se ajusta de acuerdo con la guía de administración de riesgos G-MC-04 de la entidad, quedando en catastrófico.
2. Respecto a la causa 4, que establece: “Causa 4: Debilidad en el proceso de seguimiento a la ejecución de los contratos” se considera que dicha causa se encuentra bajo gestión y responsabilidad del supervisor, sin embargo, el Grupo de Gestión Contractual, por ser la dependencia que emite los lineamientos tales como los procedimientos, manuales, guías y formatos, los cuales debe tener en cuenta el supervisor del contrato para realizar en debida forma su gestión, es así como, se atiende la recomendación de la OCI y se incluye una acción en el plan de tratamiento que contempla el seguimiento del GGC.
3. La evaluación del riesgo residual queda en "extremo", por tanto, se implementó el plan de tratamiento de acuerdo con la guía del riesgo de la entidad.
4. Se ajusta el monitoreo descrito para el riesgo de gestión ya que, por error al trasladar la información por parte de la OAP, se relacionó el de otra dependencia.</t>
    </r>
  </si>
  <si>
    <t>Para el presente seguimiento, se evidencia que la dependencia ha realizado la actualización de la definición del riesgo. Sin embargo, se recomienda validar el impacto que podría generar la materialización del riesgo, de manera que dicho impacto sea reflejado adecuadamente en la definición. Es importante recordar que el impacto debe corresponder a la mayor consecuencia que puede derivarse de la materialización del riesgo identificado.
Con base en las evidencias presentadas, se puede constatar la implementación de los controles definidos por la dependencia. No obstante, se sugiere que, para la causa 4, se establezca un control específico a cargo del GGC, ya que actualmente la ejecución de los controles recae en otras dependencias y no en el dueño del riesgo. Alternativamente, se podría incluir una acción en el plan de tratamiento que contemple la supervisión del GGC sobre dicho control.
Se exhorta a la dependencia a realizar de forma continua un análisis de causas, tanto internas como externas, especialmente ante cambios en el entorno del proceso. Esto permitirá una administración del riesgo dinámica y alineada con la realidad institucional.
De igual manera, es fundamental que la dependencia defina acciones dentro del plan de tratamiento orientadas a fortalecer la implementación de los controles y aumentar su efectividad.
Por último, se observa que el monitoreo descrito para el presente riesgo no guarda relación directa con la ejecución de los controles a cargo del GGC, por lo que se recomienda ajustar este aspecto para lograr una adecuada trazabilidad y seguimiento.</t>
  </si>
  <si>
    <t>Causa 2: Falta de seguimiento a la oportunidad de radicación y respuesta en la gestión de la etapa precontractual</t>
  </si>
  <si>
    <t>Indisponibilidad de los bienes y servicios requeridos por el MJD para su funcionamiento.</t>
  </si>
  <si>
    <t>El/la Coordinaror (a) del Grupo de Gestión Contractual mensualmente enviará por correo electrónico el PAA actualizado con el cruce de información presupuestal registrada en SIIF a la Secretaria General, Oficina Asesora de Planeación, el Grupo de Gestión Financiera y Contable y a quien considere, con el fin de que las mismas tomen como insumo para los diferentes reportes en los comités de seguimiento presupuestal y demás actividades de seguimiento de la ejecución del PAA en aras de contribuir con una adecuada ejecución del PAA. Evidencia: Correos electrónicos con el PAA</t>
  </si>
  <si>
    <t>Realizar jornadas de capacitación a los funcionarios y colaboradores de la entidad en materia de supervisión e interventoria de contratos, el deber de publicar los documentos de ejecucion del contrato en Secop II y TVEC, las consecuencias disciplinarias, fiscales y penales en que se puede incurrir por una deficiente supevisión del contrato, entre otros temas.</t>
  </si>
  <si>
    <t xml:space="preserve"> Listado de asistencia o grabación.</t>
  </si>
  <si>
    <t>No se presentó la materialización de riesgos.  Se realiza reporte con corte 30 de abril de 2025.
Se cargan las evidencias de los controles en la carpeta conpartida del OneDrive. Correos electrónicos del PAA, presentaciones al comité y actas.</t>
  </si>
  <si>
    <t>No se presentó la materialización de riesgos.  Se realiza reporte con corte 31 de agosto de 2025.
Se cargan las evidencias tanto de los controles como de las acciones en la carpeta conpartida del OneDrive. 
Correos electrónicos del PAA, presentaciones al comité y actas. 
Capacitaciones:
1.    “Uso del módulo "plan de pagos" del SECOP II para proveedores persona jurídica y Consulta de órdenes de compra y publicación de documentos en la TVEC”, el 6 de junio de 2025.
2.    Supervisión de contratos y convenios, el 24 de junio de 2025</t>
  </si>
  <si>
    <t>Causa 3: Deficiencia en la definición de los criterios técnicos, legales y/o financieros para la contrucción de los estudios previos y documentos soporte.</t>
  </si>
  <si>
    <t>Castigo al prespuesto de Adquisición de Bienes y Servicios para la siguiente vigencia por parte del MHCP por inejecución del presupuesto</t>
  </si>
  <si>
    <t>El funcionario o contratista designado por el /la Coordinador(a) del GGC cada vez que se va a efectuar la suscripción de un contrato, revisa los estudios previos y los documentos soporte de la contratación a fin de verificar que el proceso pre contractual cumpla con los requisitos técnicos, legales y financieros. En caso de encontrar inconsistencias o información faltante y si el hecho es subsanable, se solicita la modificación o complemento a la dependencia responsable en un plazo prudente de tal forma que no se retrase el proceso de suscripción. Si por otro lado la situación no es subsanable, se hace devolución de la documentación completa junto a un memorando donde se explican las razones de esta decisión y se solicita la modificación de la documentación existente. Evidencia: Correo electrónico o memorando.</t>
  </si>
  <si>
    <t>Realizar una jornada de capacitación a las distintas dependencias del Ministerio, en las cuales se brinde información sobre la importancia de adelantar el trámite de liquidación de los contratos estatales, las consecuencias de omitir este deber por parte del supervisor, los efectos, terminos de Ley, el procedimiento al interior del Ministerio y cuáles son las obligaciones posteriores al trámite.</t>
  </si>
  <si>
    <t>No se presentó la materialización de riesgos.  Se realiza reporte con corte 30 de abril de 2025.
Se cargan las evidencias de los controles en la carpeta conpartida del OneDrive. Correos electrónicos o memorandos de revision de estudios previos y documentos precontractuales. (234 correos y/o memorandos)</t>
  </si>
  <si>
    <t>.No se presentó la materialización de riesgos.  Se realiza reporte con corte 31 de agosto de 2025.
Se cargan las evidencias tanto de los controles como de las acciones en la carpeta conpartida del OneDrive. 
Correos electrónicos o memorandos de revision de estudios previos y documentos precontractuales. (224 correos y/o memorandos) 
En programación de la capacitación de tema liquidaciones a realizarse entre septiembre y nobviembre 2025..</t>
  </si>
  <si>
    <t>El funcionario o contratista designado por el /la Coordinador(a) del GGC cada vez que le sea asignado un proceso de contratación con pluralidad de oferentes, verificará el cumplimiento de los requistios técnicos, jurídicos y financieros de la evaluación del proceso para que cumplan en estricto sentido con lo solicitado en el pliego de condiciones de tal manera que el proceso se adjudique en debida forma. En caso de que la evaluacion no cumpla con lo establecido, se devolverá mediante correo electrónico a la dependencia responsable para que realicen los ajustes del caso. Evidencias: Correo electrónico.</t>
  </si>
  <si>
    <t>Realizar una revisión de carácter aleatorio a los informes de ejecución de actividades presentados por los contratistas los cuales deben encontrarse debidamente cargados y avalados por el supervisor del contrato en la plataforma SECOP II, de tal manera que se pueda brindar apoyo en el seguimiento a la ejecución contractual de ser necesario, con el fin de generar las alertas a que haya lugar. En caso de encontrarse inconformidades con la publicación de los informes de ejecución de los contratistas en la plataforma Secop II, se remitirá correo electrónico a la dependencia y se realizará el seguimiento hasta corregir la falta de publicidad.</t>
  </si>
  <si>
    <t>Trimestral</t>
  </si>
  <si>
    <t>Archivo Excel y correos</t>
  </si>
  <si>
    <t>No se presentó la materialización de riesgos.  Se realiza reporte con corte 30 de abril de 2025.
Se cargan las evidencias de los controles en la carpeta conpartida del OneDrive. Correos electrónicos o memorandos de revision de estudios previos y documentos precontractuales de procesos con pluralidad de oferentes. (53 correos)</t>
  </si>
  <si>
    <t>No se presentó la materialización de riesgos.  Se realiza reporte con corte 31 de agosto de 2025.
Se cargan las evidencias  tanto de los controles como de las acciones en la carpeta conpartida del OneDrive. 
Correos electrónicos o memorandos de revision de estudios previos y documentos precontractuales de procesos con pluralidad de oferentes. (175 correos) 
Archivo Excel con la revisión aleatoria de los contratos y correos solicitando ajustes a las áreas del MJD con sus respuestas.</t>
  </si>
  <si>
    <t>Causa 4: Debilidad en el proceso de seguimiento a la ejecución de los contratos</t>
  </si>
  <si>
    <t>Requerimientos de entes de control</t>
  </si>
  <si>
    <t>El supervisor e interventor, según la periodicidad pactada en el contrato, verificará el avance de la ejecución del contrato, las actividades realizadas, los bienes suministrados, los servicios prestados, las obras ejecutadas, las cantidades recibidas y demás que correspondan, según la naturaleza del contrato. Los cuales deberán referirse al cumplimiento y seguimiento del contrato, en el aspecto jurídico, técnico, administrativo, financiero y contable. en caso de encontrarr novedades o atrasos en la ejecución dle contrato, lo registrará en el formato F-GC-07-01 Segumiento periódico a los riesgos del contrato o convenio. Evidencias: Base de datos de los contratos o convenios en ejecución con su respectivo link de consulta en Secop.</t>
  </si>
  <si>
    <t>Presentar en las sesiones de los Comités de Seguimiento a la Ejecución Presupuestal el estado del PAA con el fin generar las alertas a que haya lugar para ejecutar en debida forma el presupuesto de la entidad..</t>
  </si>
  <si>
    <t xml:space="preserve">Presentaciones del estado del PAA </t>
  </si>
  <si>
    <t>No se presentó la materialización de riesgos.  Se realiza reporte con corte 30 de abril de 2025.
Se cargan las evidencias de los controles en la carpeta conpartida del OneDrive. Base de datos de los contratos o convenios en ejecución con su respectivo link de consulta en Secop en el cual se evidencia el avance de la ejecución del contrato, las actividades realizadas, los bienes suministrados, los servicios prestados, las obras ejecutadas, las cantidades recibidas y demás que correspondan, según la naturaleza del contrato.</t>
  </si>
  <si>
    <t xml:space="preserve">No se presentó la materialización de riesgos.  Se realiza reporte con corte 31 de agosto de 2025.
Se cargan las evidencias  tanto de los controles como de las acciones en la carpeta conpartida del OneDrive. 
Base de datos de los contratos o convenios en ejecución con su respectivo link de consulta en Secop en el cual se evidencia el avance de la ejecución del contrato, las actividades realizadas, los bienes suministrados, los servicios prestados, las obras ejecutadas, las cantidades recibidas y demás que correspondan, según la naturaleza del contrato.
Presentaciones del estado del PAA </t>
  </si>
  <si>
    <t>Causa 5: Falta de seguimiento a la liquidación de los contratos</t>
  </si>
  <si>
    <t>Pérdida de competencia para liquidar los contratos</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</si>
  <si>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 cuando aplique.</t>
  </si>
  <si>
    <t xml:space="preserve">No se presentó la materialización de riesgos.  Se realiza reporte con corte 30 de abril de 2025.
Se cargan las evidencias de los controles en la carpeta conpartida del OneDrive. Base de datos de los contratos o convenios en ejecución con su respectivo link de consulta en Secop en el cual se evidencia el seguimiento periódico a los riesgos del contrato en el formato F-GC-07-01 con el fin de detectar la materialización del riesgo o la alta probabilidad de ocurrencia con cada cuenta de cobro radicada. </t>
  </si>
  <si>
    <t xml:space="preserve">No se presentó la materialización de riesgos.  Se realiza reporte con corte 31 de agosto de 2025.
Se cargan las evidencias de los controles en la carpeta conpartida del OneDrive. 
Base de datos de los contratos o convenios en ejecución con su respectivo link de consulta en Secop en el cual se evidencia el seguimiento periódico a los riesgos del contrato en el formato F-GC-07-01 con el fin de detectar la materialización del riesgo o la alta probabilidad de ocurrencia con cada cuenta de cobro radicada. </t>
  </si>
  <si>
    <t>El Coordinador del GGC o quien delegue, trimestralmente realizará seguimiento al cumplimiento del "Plan de liquidaciones de contratos" definido por el Grupo de Gestión Contractual de acuerdo con los criterios de priorización, con el fin de evitar la pérdida de competencia para liquidar los contratos de la entidad. Si se evidencia el no cumplimiento en la radicación del trámite de liquidación, el GGC remite correo electrónico o memorando al supervisor del contrato conminándolo al cumplimiento. Evidencia: Plan de liquidaciones de contratos, reporte trimestral y correo electrónico o memorando (si aplica este último).</t>
  </si>
  <si>
    <t>No se presentó la materialización de riesgos.  Se realiza reporte con corte 30 de abril de 2025.
Se cargan las evidencias de los controles en la carpeta conpartida del OneDrive. Reporte trimestralmente del seguimiento a las liquidaciones por vigencia, el cumplimiento del "Plan de liquidaciones de contratos" definido por el Grupo de Gestión Contractual de acuerdo con los criterios de priorización, con el fin de evitar la pérdida de competencia para liquidar los contratos de la entidad, y memorando al supervisor del contrato conminándolo al cumplimiento de la radicacion del trámite..</t>
  </si>
  <si>
    <t>No se presentó la materialización de riesgos.  Se realiza reporte con corte 31 de agosto de 2025.
Se cargan las evidencias de los controles en la carpeta conpartida del OneDrive. 
Reporte trimestral del seguimiento a las liquidaciones por vigencia, el "Plan de liquidaciones de contratos" definido por el Grupo de Gestión Contractual de acuerdo con los criterios de priorización, con el fin de evitar la pérdida de competencia para liquidar los contratos de la entidad  y los memorando al supervisor del contrato conminándolo al cumplimiento de la radicacion del trámite.</t>
  </si>
  <si>
    <t>Gestión Financiera</t>
  </si>
  <si>
    <t>Administrar el ciclo financiero de ingresos y egresos, derechos y obligaciones, asignado al Ministerio de Justicia y del Derecho mediante la aplicación de procedimientos contables, presupuestales y de tesorería, acordescon la normatividad vigente, con el fin de optimizar el uso y ejecución de los recursos financieros del MJD.</t>
  </si>
  <si>
    <t>Posibilidad de efecto dañoso sobre los recursos públicos por generar o líquidar pagos de forma inadecuada, a causa de la falta de controles en la verificación de requisitos para el tramite de cuentas y facturas.</t>
  </si>
  <si>
    <t>Riesgo Fiscal</t>
  </si>
  <si>
    <t>Entrega incompleta o inconsistente de los documentos soporte por parte de las dependencias, en la radicación de cuentas de proveedores y contratistas, ante el GGFC.</t>
  </si>
  <si>
    <t>Externa</t>
  </si>
  <si>
    <t>Demandas al MJD por parte de los proveedores y/o contratistas</t>
  </si>
  <si>
    <t>1. El Profesional de Central de Cuentas, cada vez que reciba el "formato unico para pago de Contratistas - Persona Natural F-GC-06-03 y/o el "formato unico para pago de Contratistas - Persona Jurídica F-GC-06-06 Persona Jurídica", verifica la completitud de los requisitos para el trámite de cuentas de proveedores y contratistas, conforme al procedimiento " P-GF-25 Tramite de Cuentas y Facturas", con el fin de evitar errores en la liquidación de impuestos y de las obligaciones presupuestales. En caso de encontrar información faltante o inconsistente, devuelve la solicitud a la dependencia responsable, a través de correo electrónico solicitando la corrección.
Evidencia: 
1) Trazabilidad de las cuentas en el "Formato de Radicación de Cuentas F-GF-25-04", en donde se precisan las devoluciones y correcciones que eventualmente pueden tener las cuentas radicadas ante el GGFC.
2) Correo de devolución a las dependencias solicitando el ajuste (cuando aplique).</t>
  </si>
  <si>
    <t>1. Enviar circular a las dependencias generadoras de información contable y financiera, con el fin de reiterar el cumplimiento de los requisitos acorde al procedimiento establecido para el trámite y pago de cuentas.</t>
  </si>
  <si>
    <t>Anual</t>
  </si>
  <si>
    <t>Coordinador (a) GGFC</t>
  </si>
  <si>
    <t>Memorando Enviado</t>
  </si>
  <si>
    <r>
      <rPr>
        <b/>
        <sz val="11"/>
        <color theme="1"/>
        <rFont val="Abadi"/>
        <family val="2"/>
      </rPr>
      <t xml:space="preserve">C.1. </t>
    </r>
    <r>
      <rPr>
        <sz val="11"/>
        <color theme="1"/>
        <rFont val="Abadi"/>
        <family val="2"/>
      </rPr>
      <t xml:space="preserve">Desde el Grupo de Central de Cuentas, se continúa con la respectiva aplicación de los controles establecidos para el proceso, a través de la radicación, revisión, registro y seguimiento de las cuentas de cobro (PN / PJ), en la planilla-control F-GF-24-01, evidenciando la trazabilidad de cada una de las cuentas radicadas ante el GGFC - Central de Cuentas, de igual forma en los casos que aplica, se realizan las respectivas devoluciones a las dependencias, de aquellas cuentas que presentan incumplimento a los requisitos establecidos.
Se adjuntan las evidencias correspondientes.
</t>
    </r>
    <r>
      <rPr>
        <b/>
        <sz val="11"/>
        <color theme="1"/>
        <rFont val="Abadi"/>
        <family val="2"/>
      </rPr>
      <t>C.2.</t>
    </r>
    <r>
      <rPr>
        <sz val="11"/>
        <color theme="1"/>
        <rFont val="Abadi"/>
        <family val="2"/>
      </rPr>
      <t xml:space="preserve"> Se continúa con la revisión de las cuentas por parte del área de Tesorería, así como la devolución a Central de Cuentas, de aquellas liquidaciones y/o obligaciones que presentaron inconsistencias y/o errores en su registro.
Se adjuntan las evidencias correspondientes.
</t>
    </r>
    <r>
      <rPr>
        <b/>
        <sz val="11"/>
        <color theme="1"/>
        <rFont val="Abadi"/>
        <family val="2"/>
      </rPr>
      <t>Acción de Tratamiento No. 1:</t>
    </r>
    <r>
      <rPr>
        <sz val="11"/>
        <color theme="1"/>
        <rFont val="Abadi"/>
        <family val="2"/>
      </rPr>
      <t xml:space="preserve">
Desde el GGFC con fecha 23 de enero de 2025, se emite circular No. MJD-CIR25 0000001-GGFC-40600 (enviada a todas las dependencias del MJD), en la cual se establecen los lineamientos para la radicación de cuentas ante el GGFC.
Se adjuntan las evidencias correspondientes.
</t>
    </r>
    <r>
      <rPr>
        <b/>
        <sz val="11"/>
        <color theme="1"/>
        <rFont val="Abadi"/>
        <family val="2"/>
      </rPr>
      <t>Acción de Tratamiento No. 2:</t>
    </r>
    <r>
      <rPr>
        <sz val="11"/>
        <color theme="1"/>
        <rFont val="Abadi"/>
        <family val="2"/>
      </rPr>
      <t xml:space="preserve">
Teniendo en cuenta la actualizacion realizada a la matriz de riesgos de gestión, esta acción de tratamiento se empieza a ejecutar a partir del segundo cuatrimestre de 2025.
</t>
    </r>
    <r>
      <rPr>
        <b/>
        <sz val="11"/>
        <color theme="1"/>
        <rFont val="Abadi"/>
        <family val="2"/>
      </rPr>
      <t>Acción de Tratamiento No. 3:</t>
    </r>
    <r>
      <rPr>
        <sz val="11"/>
        <color theme="1"/>
        <rFont val="Abadi"/>
        <family val="2"/>
      </rPr>
      <t xml:space="preserve">
Desde el GGFC - Central de Cuentas, el día 29 de enero de 2025, se realiza capacitación a todos los enlaces financieros del MJD,con el fin de informar los lineamientos establecidos para el trámite de cuentas, así como los requisitos y documentos soporte para el proceso de radicación de cuentas ante el GGFC.
Se adjuntan las evidencias correspondientes.
</t>
    </r>
    <r>
      <rPr>
        <b/>
        <sz val="11"/>
        <color theme="1"/>
        <rFont val="Abadi"/>
        <family val="2"/>
      </rPr>
      <t>Acción de Tratamiento No. 4:</t>
    </r>
    <r>
      <rPr>
        <sz val="11"/>
        <color theme="1"/>
        <rFont val="Abadi"/>
        <family val="2"/>
      </rPr>
      <t xml:space="preserve">
Teniendo en cuenta la actualizacion realizada a la matriz de riesgos de gestión, esta acción de tratamiento se empieza a ejecutar a partir del segundo cuatrimestre de 2025.
*Por lo anteriormente expuesto, desde el GGFC se informa que para el 1er. cuatrimestre 2025, no se evidencia la materialización de este riesgo.
</t>
    </r>
  </si>
  <si>
    <r>
      <rPr>
        <b/>
        <sz val="11"/>
        <color rgb="FF000000"/>
        <rFont val="Abadi"/>
      </rPr>
      <t>C.1.</t>
    </r>
    <r>
      <rPr>
        <sz val="11"/>
        <color rgb="FF000000"/>
        <rFont val="Abadi"/>
      </rPr>
      <t xml:space="preserve"> Desde el Grupo de Central de Cuentas, se continúa con la respectiva aplicación de los controles establecidos para el proceso, a través de la radicación, revisión, registro y seguimiento de las cuentas de cobro (PN / PJ), en la planilla-control F-GF-24-01, evidenciando la trazabilidad de cada una de las cuentas radicadas ante el GGFC - Central de Cuentas, de igual forma en los casos que aplica, se realizan las respectivas devoluciones a las dependencias, de aquellas cuentas que presentan incumplimento a los requisitos establecidos.
Se adjuntan las evidencias correspondientes.
</t>
    </r>
    <r>
      <rPr>
        <b/>
        <sz val="11"/>
        <color rgb="FF000000"/>
        <rFont val="Abadi"/>
      </rPr>
      <t xml:space="preserve">C.2. </t>
    </r>
    <r>
      <rPr>
        <sz val="11"/>
        <color rgb="FF000000"/>
        <rFont val="Abadi"/>
      </rPr>
      <t xml:space="preserve">Se continúa con la revisión de las cuentas por parte del área de Tesorería, así como la devolución al área de Central de Cuentas, de aquellas obligaciones que presentaron inconsistencias y/o errores en su registro.
Se adjuntan las evidencias correspondientes.
</t>
    </r>
    <r>
      <rPr>
        <b/>
        <sz val="11"/>
        <color rgb="FF000000"/>
        <rFont val="Abadi"/>
      </rPr>
      <t xml:space="preserve">Acción de Tratamiento No. 1:
</t>
    </r>
    <r>
      <rPr>
        <sz val="11"/>
        <color rgb="FF000000"/>
        <rFont val="Abadi"/>
      </rPr>
      <t xml:space="preserve">Accion cumplida y rerportada en el primer cuatrimestre de 2025.
</t>
    </r>
    <r>
      <rPr>
        <b/>
        <sz val="11"/>
        <color rgb="FF000000"/>
        <rFont val="Abadi"/>
      </rPr>
      <t xml:space="preserve">Acción de Tratamiento No. 2:
</t>
    </r>
    <r>
      <rPr>
        <sz val="11"/>
        <color rgb="FF000000"/>
        <rFont val="Abadi"/>
      </rPr>
      <t xml:space="preserve">A la fecha, no se han presentado temas relacionados con actualizaciones Tributarias, que puedan afectar el proceso correspondiente al registro de obligaciones.
</t>
    </r>
    <r>
      <rPr>
        <b/>
        <sz val="11"/>
        <color rgb="FF000000"/>
        <rFont val="Abadi"/>
      </rPr>
      <t xml:space="preserve">Acción de Tratamiento No. 3:
</t>
    </r>
    <r>
      <rPr>
        <sz val="11"/>
        <color rgb="FF000000"/>
        <rFont val="Abadi"/>
      </rPr>
      <t xml:space="preserve">Accion cumplida y rerportada en el primer cuatrimestre de 2025.
</t>
    </r>
    <r>
      <rPr>
        <b/>
        <sz val="11"/>
        <color rgb="FF000000"/>
        <rFont val="Abadi"/>
      </rPr>
      <t xml:space="preserve">Acción de Tratamiento No. 4:
</t>
    </r>
    <r>
      <rPr>
        <sz val="11"/>
        <color rgb="FF000000"/>
        <rFont val="Abadi"/>
      </rPr>
      <t>Desde el área de Tesorería, se tiene programada esta actividad para su ejecución, en el 3er. Cuatrimestre 2025.
*Por lo anteriormente expuesto, desde el GGFC se informa que para el 2do. cuatrimestre 2025, no se evidencia la materialización de este riesgo.</t>
    </r>
  </si>
  <si>
    <r>
      <rPr>
        <sz val="10"/>
        <color rgb="FF000000"/>
        <rFont val="Arial"/>
      </rPr>
      <t xml:space="preserve">Se evidencia que la definición del riesgo ha sido actualizada. Sin embargo, se recomienda ajustar el impacto asociado, ya que actualmente no se presenta con suficiente claridad. Es fundamental recordar que el impacto debe reflejar la consecuencia más grave que podría derivarse de la materialización del riesgo.
Adicionalmente, con base en las evidencias aportadas por la dependencia, se pudo corroborar la implementación tanto de los controles como de las acciones contempladas en el plan de tratamiento.
Finalmente, se exhorta a la dependencia a mantener una revisión y actualización continua del riesgo, considerando los cambios en el entorno interno y externo, con el fin de asegurar una administración efectiva y oportuna del mismo.
</t>
    </r>
    <r>
      <rPr>
        <b/>
        <sz val="10"/>
        <color rgb="FF002060"/>
        <rFont val="Arial"/>
      </rPr>
      <t xml:space="preserve">Respuesta GGFC 03-09-2025:
</t>
    </r>
    <r>
      <rPr>
        <sz val="10"/>
        <color rgb="FF002060"/>
        <rFont val="Arial"/>
      </rPr>
      <t>Desde el GGFC, se informa que esta calificación del impacto se basa en los criterios establecidos, tanto en la Guía “G-MC-04 Administración de Riesgos” establecida para el MJD, así como la emitida por el Departamento Administrativo de la Función Pública – DAFP, en las cuales se encuentran definidas como variables de impacto: i) Afectación Económica y ii) Afectación Reputacional, con su correspondiente calificación. Para el caso específico de este riesgo y posterior al análisis realizado, da como resultado la calificación más crítica, teniendo en cuenta el alto volumen de cuentas y facturas que se tramitan durante la vigencia, es decir, el número de veces que se ejecuta la actividad.</t>
    </r>
  </si>
  <si>
    <t>Incumplimiento de los criterios técnicos y/o normativos en materia contable y tributaria, por ausencia  o desconocimiento  de controles para el trámite y pago de obligaciones.</t>
  </si>
  <si>
    <t>Requerimientos por parte de los Entes de Control - posibles hallazgos de indole financiero y contable.</t>
  </si>
  <si>
    <t xml:space="preserve">2. El Profesional de área de Tesorería cada vez que reciba un comprobante de obligacion presupuestal, revisa contra los documentos soporte de la solicitud de pago, que se encuentren debidamente liquidados y con los respectvos documentos soporte. En caso de encontrar inconsistencias, se devuleve a través de correo electrónico, al profesional de Central de Cuentas para el respectivo ajuste.
Evidencia: 
1.Correos de devolución de cuentas solicitando la corrección de la obligación. </t>
  </si>
  <si>
    <t>2. Enviar correo electrónico a los profesionales de central de cuentas, cada vez que se realicen actualizaciones en materia tributaria y contable.</t>
  </si>
  <si>
    <t xml:space="preserve">Contador </t>
  </si>
  <si>
    <t>Correo enviado a los Profesionales de Central de Cuentas</t>
  </si>
  <si>
    <t>3. Realizar capacitación a los enlaces financieros de las dependencias, con el fin de efectuar retroalimentación,  reiterando los requistos mínimos requeridos para el trámite de cuentas.</t>
  </si>
  <si>
    <t>Lider Central de Cuentas</t>
  </si>
  <si>
    <t>Lista de Aistencia</t>
  </si>
  <si>
    <t>4. Realizar retroalimentación con los profesionales de Central de Cuentas, socializando los incidentes que se están presentando al momento de registrar la obligación prespuestal, con el fin de identifcar mecanismos para minimizar y/o eliminar el margen de error.</t>
  </si>
  <si>
    <t xml:space="preserve">Semestral </t>
  </si>
  <si>
    <t>Líder Central Tesorería</t>
  </si>
  <si>
    <t>Posibilidad de afectación reputacional por la presentación y publicación de información inexacta o inoportuna en los Estados Financieros, debido a la no depuración y conciliación de  las cuentas de acuerdo con la normatividad vigente.</t>
  </si>
  <si>
    <t>Inoportunidad en la presentación y entrega de los reportes por parte de las dependencias generadoras de la información contable al GGFC.</t>
  </si>
  <si>
    <t>Pérdida de credibilidad, confiabilidad y fiabilidad en la información Contable y Financiera</t>
  </si>
  <si>
    <t>Improbable</t>
  </si>
  <si>
    <t>1. El Profesional de Contabilidad designado por parte del Coordinador(a) del GGFC verifica mensualmente la recepción de los reportes por parte de las dependencias generadoras de la información financiera y contable del MJD, de acuerdo con lo establecido en el procedimiento de Gestión Contable, con el fin de realizar la depuración y conciliación de las cuentas, para la elaboración y presentación de los Estados Financieros, dentro de los plazos establecidos y de acuerdo con la normatividad vigente para las Entidades de Gobierno. Las dependencias que no cumplan con la entrega oportuna de la información, desde el GGFC se solicitará esta información vía correo electrónico.
Evidencia: 1. Correo electrónico solicitando la información (cuando aplique).</t>
  </si>
  <si>
    <r>
      <rPr>
        <b/>
        <sz val="11"/>
        <color theme="1"/>
        <rFont val="Calibri"/>
        <family val="2"/>
        <scheme val="minor"/>
      </rPr>
      <t xml:space="preserve">Nota: </t>
    </r>
    <r>
      <rPr>
        <sz val="11"/>
        <color theme="1"/>
        <rFont val="Calibri"/>
        <family val="2"/>
        <scheme val="minor"/>
      </rPr>
      <t>Teniendo en cuenta que el riesgo residual quedó en una zona moderada, no se generan acciones para su tratamiento y se asume el riesgo.</t>
    </r>
  </si>
  <si>
    <r>
      <rPr>
        <b/>
        <sz val="11"/>
        <rFont val="Abadi"/>
        <family val="2"/>
      </rPr>
      <t>C.1.</t>
    </r>
    <r>
      <rPr>
        <sz val="11"/>
        <rFont val="Abadi"/>
        <family val="2"/>
      </rPr>
      <t xml:space="preserve"> Se da continuidad a la aplicación de los controles establecidos para el proceso, así como el envío de las respectivas solicitudes de información contable (en los casos que aplique), a aquellas dependencias las cuales no dieron cumplimiento a las fechas establecidas para el reporte de la información; lo anterior, con el fin de poder elaborar y presentar los EEFF del MJD de manera oportuna. 
Se adjuntan las evidencias correspondientes.</t>
    </r>
    <r>
      <rPr>
        <sz val="11"/>
        <color theme="1"/>
        <rFont val="Abadi"/>
        <family val="2"/>
      </rPr>
      <t xml:space="preserve">
</t>
    </r>
    <r>
      <rPr>
        <sz val="11"/>
        <rFont val="Abadi"/>
        <family val="2"/>
      </rPr>
      <t xml:space="preserve">
</t>
    </r>
    <r>
      <rPr>
        <b/>
        <sz val="11"/>
        <rFont val="Abadi"/>
        <family val="2"/>
      </rPr>
      <t xml:space="preserve">C.2. </t>
    </r>
    <r>
      <rPr>
        <sz val="11"/>
        <rFont val="Abadi"/>
        <family val="2"/>
      </rPr>
      <t>Desde el GGFC - Contabilidad, se continúa con la ejecución y registro de las respectivas conciliaciones, validando la consistencia de la información recibida por parte de las dependencias generadoras de información contable, de igual forma se realiza solicitud de aclaración a aquellas dependencias en las cuales se encontraron diferencias (cuando aplica). 
Se adjuntan las evidencias correspondientes.
*Por lo anteriormente expuesto, desde el GGFC se informa que para el 1er. cuatrimestre 2025, no se evidencia la materialización de este riesgo.</t>
    </r>
  </si>
  <si>
    <r>
      <rPr>
        <b/>
        <sz val="11"/>
        <color rgb="FF000000"/>
        <rFont val="Calibri"/>
        <scheme val="minor"/>
      </rPr>
      <t xml:space="preserve">"C.1. </t>
    </r>
    <r>
      <rPr>
        <sz val="11"/>
        <color rgb="FF000000"/>
        <rFont val="Calibri"/>
        <scheme val="minor"/>
      </rPr>
      <t xml:space="preserve">Se da continuidad a la aplicación de los controles establecidos para el proceso, así como el envío de las respectivas solicitudes de información contable (en los casos que aplique), a aquellas dependencias las cuales no dieron cumplimiento a las fechas establecidas para el reporte de la información; lo anterior, con el fin de poder elaborar y presentar los EEFF del MJD de manera oportuna. 
Se adjuntan las evidencias correspondientes.
</t>
    </r>
    <r>
      <rPr>
        <b/>
        <sz val="11"/>
        <color rgb="FF000000"/>
        <rFont val="Calibri"/>
        <scheme val="minor"/>
      </rPr>
      <t>C.2.</t>
    </r>
    <r>
      <rPr>
        <sz val="11"/>
        <color rgb="FF000000"/>
        <rFont val="Calibri"/>
        <scheme val="minor"/>
      </rPr>
      <t xml:space="preserve"> Desde el GGFC - Contabilidad, se continúa con la ejecución y registro de las respectivas conciliaciones, validando la consistencia de la información recibida por parte de las dependencias generadoras de información contable, de igual forma se realiza solicitud de aclaración a aquellas dependencias en las cuales se encontraron diferencias (cuando aplica). 
Se adjuntan las evidencias correspondientes.
*Por lo anteriormente expuesto, desde el GGFC se informa que para el 2do. cuatrimestre 2025, no se evidencia la materialización de este riesgo."
</t>
    </r>
  </si>
  <si>
    <t>Entrega incompleta o inconsistente de los reportes por parte de las dependencias generadoras de la información contable, para realizar los registros contables.</t>
  </si>
  <si>
    <t>Presentación extemporánea de la información contable a la Contaduría General de la Nación y demas partes interesadas.</t>
  </si>
  <si>
    <t xml:space="preserve">2. El Profesional de Contabilidad designado por parte del Coordinador(a) del GGFC responsable de la conciliación, mensualmente realiza la conciliación de cifras, con el fin de validar la consistencia de la información remitida por las areás. En caso de encontrar diferencias, se solicita aclaración al área generadora de la información contable a través de correo electrónico. De no recibir respuesta se dejará registro en la conciliación para ser subsanado en el mes siguiente.
Evidencias: 
1) Solicitud de aclaración a través de correo electrónico (cuando aplique).
2) Conciliaciónes </t>
  </si>
  <si>
    <t>Deficiencia en la definición de los criterios técnicos - normativos en materia contable y/o financiera para los reportes realizados por parte de las dependencias generadoras de la información contable.</t>
  </si>
  <si>
    <t>Requerimientos por parte de los Entes de Control.</t>
  </si>
  <si>
    <t>Pérdida de imagen institucional.</t>
  </si>
  <si>
    <t>Administrar el ciclo financiero de ingresos y egresos, derechos y obligaciones, asignado alMinisterio de Justicia y del Derecho mediante la aplicación de procedimientos contables, presupuestales y de tesorería, acordescon la normatividad vigente, con el fin de optimizar el uso y ejecución de los recursos financieros del MJD.</t>
  </si>
  <si>
    <t>Posibilidad de afectación reputacional por la constitución de reservas no justificadas, debido a las debilidades en el seguimiento por parte del GGFC, y gestión por parte Supervisores de de los Contratos.</t>
  </si>
  <si>
    <t>Deficiente seguimiento y control por parte de los Supervisores de Contrato.</t>
  </si>
  <si>
    <t xml:space="preserve">1. Deficiente ejecución presupuestal 
</t>
  </si>
  <si>
    <t>1. El Coordinador del GGFC mensualmente remite a las dependencias ejecutoras de recursos, memorando sobre la ejecución vigente y el estado de las reservas presupuestales, con el fin de mejorar la gestión en la ejecución presupuestal y reservas presupuestales. En el caso de no poderse enviar memorando se envía correo electrónico informando sobre el estado de la ejecución.
Evidencia: Memorando o el correo electrónico enviado a las dependencias, con el reporte de ejecución presupuestal y de reservas.</t>
  </si>
  <si>
    <r>
      <rPr>
        <b/>
        <sz val="11"/>
        <color theme="1"/>
        <rFont val="Abadi"/>
        <family val="2"/>
      </rPr>
      <t xml:space="preserve">C.1. </t>
    </r>
    <r>
      <rPr>
        <sz val="11"/>
        <color theme="1"/>
        <rFont val="Abadi"/>
        <family val="2"/>
      </rPr>
      <t xml:space="preserve">Desde el GGFC, se da continuidad a la aplicación de los controles establecidos para el proceso, así como el envío del memorando a las dependencias del MJD, informando el estado de la ejecución de las reservas presupuestales, lo anterior, con el fin de generar alertas tempranas.
Se adjuntan las evidencias correspondientes.
</t>
    </r>
    <r>
      <rPr>
        <sz val="11"/>
        <rFont val="Abadi"/>
        <family val="2"/>
      </rPr>
      <t xml:space="preserve">
</t>
    </r>
    <r>
      <rPr>
        <b/>
        <sz val="11"/>
        <rFont val="Abadi"/>
        <family val="2"/>
      </rPr>
      <t>C.2</t>
    </r>
    <r>
      <rPr>
        <sz val="11"/>
        <rFont val="Abadi"/>
        <family val="2"/>
      </rPr>
      <t>. Desde el GGFC, se continúa con la aplicación de los controles establecidos para el proceso, validando la idoneidad en la justificación para la constitución de las reservas presupuestales, solicitadas por parte de las dependencias con corte a la vigencia 2024, las cuales cumplieron con los criterios establecidos.
Se adjuntan las evidencias correspondientes.</t>
    </r>
  </si>
  <si>
    <t>C.1. Desde el GGFC, se da continuidad a la aplicación de los controles establecidos para el proceso, así como el envío del memorando a las dependencias del MJD, informando el estado de la ejecución de las reservas presupuestales, lo anterior, con el fin de generar alertas tempranas.
Se adjuntan las evidencias correspondientes.
C.2. Desde el GGFC, se continúa con la aplicación de los controles establecidos para el proceso, validando la idoneidad en la justificación para la constitución de las reservas presupuestales, solicitadas por parte de las dependencias con corte a la vigencia 2024, las cuales cumplieron con los criterios establecidos.
Se adjuntan las evidencias correspondientes.
*Por lo anteriormente expuesto, desde el GGFC se informa que para el 2do. cuatrimestre 2025, no se evidencia la materialización de este riesgo.</t>
  </si>
  <si>
    <t>Falta de conocimiento por parte de los Supervisores de Contrato en la definición de los criterios técnicos, al momento de efectuar la justificación en la constitución de reservas presupuestales.</t>
  </si>
  <si>
    <t>2. Hallazgos administrativos y/o disciplinarios por parte de la CGR</t>
  </si>
  <si>
    <t>2. El Coordinador del GGFC cada vez que las dependencias solicitan la constitución de reservas prespuestales, validará que el formato "F-GF-01-06 Constitución de Reservas Presupuestales" cumpla con las condiciones y criterios requeridos en la justificación de la misma. En el caso de no cumplir con los criterios establecidos, se devuelve a la dependencia mediante correo electrónico, solicitando el ajuste correspondiente.
Evidencia: 
1. Formato "F-GF-01-06 Constitución de Reservas Presupuestales"
2. Correo electrónico de devolución a las dependencias, solicitando el ajuste (cuando aplique).</t>
  </si>
  <si>
    <t>Inoportunidad en la radicación de los formatos de constitución de reservas presupuestales por parte de las dependencias, ante el GGFC.</t>
  </si>
  <si>
    <t xml:space="preserve">3. Posible reducción del presupuesto por malas prácticas en la constitución de las reservas.
</t>
  </si>
  <si>
    <t>Falta de revisión por parte del GGFC, de la justificación registrada en los formatos de constitución de reservas presupuestales, que den cumplimiento a los criterios establecidos para la constitución de la misma.</t>
  </si>
  <si>
    <t>4. Requerimiento por parte de los Entes de Control</t>
  </si>
  <si>
    <t>Gestión Administrativa</t>
  </si>
  <si>
    <t>Fijar los lineamientos, parámetros y actividades requeridas para garantizar la gestión de los servicios administrativos, logisticos y la administración de los bienes necesario para la operación del Ministerio de Justicia y del Derecho.</t>
  </si>
  <si>
    <t>Posibilidad de afectación reputacional y economica por incumplimiento en los controles para el ingreso y salida de las instalaciones debido a el desconocimiento de los lineamientos de seguridad para las sedes de la entidad por parte del proveedor del servicio de vigilancia.</t>
  </si>
  <si>
    <t>Deficiencias en la definición de los controles establecidos para el ingreso y salida de las instalaciones.</t>
  </si>
  <si>
    <t>1. Robo, pérdida o daño de equipos, documentos y elementos físicos de la entidad.
2. Personal no autorizado podrían ingresar, poniendo en riesgo la seguridad física y la de la información.</t>
  </si>
  <si>
    <t>El personal de vigilancia permanentemente verificará en el ingreso la autorización para visitantes y la tarjeta de acceso para colaboradores con en fin de asegurar el acceso al personal autorizado.En caso de que el  visitante no cuente con autorización se procederá a informar vía telefonica y se registrará en la minuta el funcionario que autoriza y el area donde permanecera el visitante.
Evidencia:
1.Reporte de ingresos y salidas de la entidad.
2.Correo de autorización del ingreso de visitantes.
3.Registro Fotografico de una muestra tomada de la minuta de vigilancia.</t>
  </si>
  <si>
    <t>Para el primer cuatrimestre el riesgo no se ha materializado , en aplicación a los controles establecidos.El GGA continuo con en el seguimiento: 
1.El personal de vigilancia ha realizado de forma continua la verificación de autorizaciones de ingreso tanto para visitantes como para colaboradores, sin registrarse accesos no autorizados ni omisiones en la minuta de seguridad.
2.Las bitácoras y registros muestran cumplimiento de los procedimientos de control de acceso y registro de visitantes.
3.El apoyo a la supervisión ha verificado mensualmente las capacitaciones y la adecuada prestación del servicio  por la empresa de vigilancia contrato 1217-2023.
4.Se continua con en el cumplimiento a los lineamientos de seguridad referente a la revisión de objetos y el registro en minuta a la fecha no se han reportado pérdidas de bienes ni ingresos de objetos no autorizados.
5.Cualquier novedad ha sido gestionada de forma oportuna con el supervisor de seguridad.
Evidencia:
1.Reporte de ingresos y salidas de la entidad.
2.Correo de autorización del ingreso de visitantes.
3.Registro Fotografico minutas.
4.Informe de supervisión.</t>
  </si>
  <si>
    <t>Durante el segundo cuatrimestre no se ha materializado el riesgo, en aplicación a los contoles establecidos. El GGA realiza el respectivo seguimiento:
1. El personal de seguridad ha llevado a cabo, de forma constante, la verificación de permisos de ingreso para visitantes y colaboradores en referencia a los correos de autorización del GGA,a la fecha no se presentan accesos indebidos ni omisiones en los reportes de seguridad.
2.Las minutas y registros evidencian el cumplimiento de los procedimientos establecidos de la guía de servicios administrativos para el control de accesos y la gestión de visitantes.
3. El equipo de supervisión ha confirmado mensualmente que la empresa de vigilancia (contrato 1217-2023) cumple con las capacitaciones requeridas , el servicios se  ha  presta el servicio de manera adecuad y continua, de igual manera no se cuenta con ningpun incumplimiento por parte del contratista.
4. Se ha mantenido el cumplimiento de las normas de seguridad relacionadas con la inspección de objetos y su registro en las minutas. 
5. La coordinación con el supervisor de seguridad ha gestionado las solicitudes y novedades.
Evidencia:
1.Reporte de ingresos y salidas de la entidad.
2.Correo de autorización del ingreso de visitantes.
3.Registro Fotografico minutas.
4.Informe de supervisión.</t>
  </si>
  <si>
    <t>Se evidencia que, para el presente seguimiento, la dependencia ha realizado la actualización de la definición del riesgo. No obstante, se recomienda validar la formulación del impacto incluido en dicha definición, recordando que el impacto corresponde a la consecuencia más grave que podría asumir la entidad en caso de materializarse el riesgo.
Se destaca positivamente que, en esta ocasión, la dependencia realizó un análisis más detallado de las causas que podrían originar la materialización del riesgo, así como una mejor definición de los controles, en línea con las recomendaciones previamente emitidas por la OCI.
A través de las evidencias aportadas, se pudo constatar que la dependencia está avanzando en la implementación de los controles establecidos.
Respecto al control 2, la OCI sugiere que se incluya una acción por parte del Ministerio para que, además del proveedor o contratista, sea también la entidad quien socialice a los funcionarios del esquema de seguridad los lineamientos para el ingreso y salida de personas, según los lineamientos de la entidad. Esta responsabilidad no debe recaer únicamente en el proveedor, dado que la entidad tiene un rol fundamental en la supervisión de la correcta ejecución del contrato.
Esta recomendación puede llevarse a cabo a través de un nuevo control o, alternativamente, mediante una acción dentro del plan de tratamiento, sirviendo como refuerzo a la implementación del control 2.
Finalmente, se insiste en la necesidad de que la dependencia defina acciones en el plan de tratamiento orientadas a fortalecer la aplicación de los controles y aumentar su efectividad.</t>
  </si>
  <si>
    <t>Falta de capacitación al personal de vigilancia de acuerdo a los lineamientos de la entidad por parte de la empresa contratista.</t>
  </si>
  <si>
    <t>3. Eventos críticos que puedan derivar en la suspensión parcial o total de las actividades de la entidad.
4.Pérdida de confianza por parte de la ciudadanía o entidades de control frente a la capacidad de proteger la infraestructura.</t>
  </si>
  <si>
    <t>El Coordinador del GGA o a quien delegue mensualmente verificará las capacitaciones realizadas por la empresa de vigilancia al personal que presta el servicio en la entidad con en el fin de asegurar la socialización de los lineamientos internos para la administración de servicios de vigilancia y seguridad privada. En caso de que no se evidencie la realización de la capacitación se remitira un correo electronico a la empresa de vigilancia solicitando el cumplimiento de la programación de capacitación establecida contractualmente.
Evidencia: 
1.Informe de supervisión
2. Correo electronico.  (Si aplica)</t>
  </si>
  <si>
    <t>Debilidades en la supervisión del contrato de vigilancia.</t>
  </si>
  <si>
    <t xml:space="preserve">5. Peligro de la integridad fisica de los colaboradores y visitantes de la entidad.
</t>
  </si>
  <si>
    <t xml:space="preserve">El personal de vigilancia permanentemente constatará la entrada y salida de elementos a traves  del escáner de rayos x y del registro en la minuta, con en el fin de salvaguardar los bienes de la entidad.En caso de identificar alguna novedad comunicara al supervisor de seguridad para realizar el debido procedimiento.
Evidencia
Minuta de ingreso de personal.
Minuta de ingreso y salida de elementos. </t>
  </si>
  <si>
    <t>Posibilidad de afectación reputacional y economica por interrupción de los servicios de la entidad debido a deficiencias en el mantenimiento preventivo y correctivo de ascensores, redes eléctricas e hidráulicas,estabilidad estructural del edificio y parque automotor</t>
  </si>
  <si>
    <t>Riesgo Operativo</t>
  </si>
  <si>
    <t>Falta de planeación y cumplimiento de los mantenimientos preventivos del parque automotor, infraesctrutura y equipamento de la entidad</t>
  </si>
  <si>
    <t xml:space="preserve">1.Retraso o suspensión en el normal desarrollo de las actividades del MJD.
2.Retrasos en el cumplimiento de agenda de la alta dirección (Ministro, Viceministros y Directivos)
</t>
  </si>
  <si>
    <t>El colaborador del GGA designado mensualmente revisará el diligenciamiento del plan anual de mantenimientos preventivos del parque automotor , infraesctrutura y equipamento de la entidad, con en el fin de asegurar su cumplimiento. En caso de identifcar novedades se reportarán al profesional responsable de su ejecución y reporte por medio de correo electronico. 
Evidencia:
Seguimiento al Plan Anual preventivo parque automotor, infraesctrutura y equipamento de la entidad.
Correo electronico de novedades en caso de que aplique.</t>
  </si>
  <si>
    <t xml:space="preserve">Para el primer cuatrimestre el riesgo no se ha materializado , en aplicación a los controles establecidos.El GGA continuo con en el seguimiento de la ejecución de los mantenimientos preventivos y correctivos. Actualmente se encuentran en ejecución los contratos para este fin: 
1.Mantenimiento de ascensores sede Chapinero (C120-2025) y sede Centro (283-2025).
2.Certificación de ascensores de las sedes Chapinero y Centro (EN PROCESO)
3.Rayos x (EN PROCESO)
4.Lavado y desinfección de tanques (C598-2025)
5.Planta eléctrica (C591-2025) 
6.Aires acondicionados (C594-2025) 
7.Motobombas y red contra incendios (EN PROCESO).
8. Vehículos Toyotas Convnecionales (OC123096-24)
9. Vehículos Hyundai (OC123099-24)
10. Vehículos Kia (OC123100-24)
11. Vehículos Toyotas blindadas y hongoi( CT595-25)
12. Vehículos Mitsubishi (OC123103-24)
13. Motos (OC123200-24- OC123201-24)
De igual manera, los colaboradores del GGA atendieron de forma oportuna los requerimientos solicitados. Los servicios realizados se contemplan dentro de la programación y seguimiento F-GA-01-01 Programa de Mantenimiento y Seguimiento de la Infraestructura y Equipamiento General,  Matriz de seguimiento del plan de mantenimientos preventivos F-G-A02-09 y la matriz interna de históricos de mantenimientos así como en la base de datos de arreglos locativos, hidrosanitarios y eléctricos de Aranda. Estas intervenciones  han garantizado el adecuado uso y funcionamiento de la entidad.Respecto al seguimiento de la etapa contratual el funcionario designado cumple con los controles y los documenta, a la fecha solo se encuentran tres procesos pendientes por finalizar la etapa de contratación.
Evidencia
Seguimiento al Plan Anual preventivo parque automotor, infraesctrutura y equipamento de la entidad.
Acta de reunión.
Seguimiento Plan Anual de Adquisiciones. </t>
  </si>
  <si>
    <t xml:space="preserve">Durante el segundo cuatrimestre no se ha materializado el riesgo, en aplicación a los contoles establecidos. El GGA realiza el respectivo seguimiento:
Mantenimiento Preventivo y Correctivo de Infraestructura, Equipamiento y Parque Automotor
En cumplimiento del cronograma de mantenimientos preventivos programados para la infraestructura, equipamiento y parque automotor de la entidad, se ejecutaron la totalidad de las actividades previstas. Estas se encuentran consignadas en los siguientes documentos:
F-GA-01-01: Programa de Mantenimiento y Seguimiento de la Infraestructura y Equipamiento General.
F-GA-02-09: Matriz de seguimiento del plan de mantenimientos preventivos.
En cuanto a los mantenimientos correctivos, estos fueron atendidos de manera oportuna. Para la infraestructura, se registraron a través del sistema Aranda; y para el parque automotor, mediante la matriz interna de seguimiento.
Actividades realizadas en infraestructura y equipamiento:
Mantenimiento de ascensores en la sede Chapinero (C120-2025) y sede Centro (283-2025).
Certificación de ascensores en ambas sedes (C617-25).
Servicio técnico a equipos de rayos X (CT612-25).
Lavado y desinfección de tanques (C598-2025).
Mantenimiento de planta eléctrica (C591-2025).
Revisión y mantenimiento de aires acondicionados (C594-2025).
Mantenimiento de motobombas y red contra incendios (en proceso).
Actividades realizadas en el parque automotor:
Mantenimiento de vehículos Toyota convencionales (OC123096-24).
Mantenimiento de vehículos Hyundai (OC123099-24).
Mantenimiento de vehículos Kia (OC123100-24).
Mantenimiento de vehículos Toyota blindados y Hongqi (CT595-25).
Mantenimiento de vehículos Mitsubishi (OC123103-24).
Mantenimiento de motocicletas (OC123200-24 y OC123201-24).
</t>
  </si>
  <si>
    <t>Para el presente seguimiento se evidencia que la dependencia ha actualizado el impacto dentro de la definición del riesgo, así como las causas y los controles asociados.
Sin embargo, se recomienda revisar los controles actualmente definidos, ya que se identifican similitudes entre algunos de ellos, lo que dificulta comprender cómo cada control responde a causas distintas. Por tal motivo, se insta a la dependencia a realizar una revisión detallada tanto de los controles formulados como de las causas identificadas, a fin de asegurar su correspondencia y efectividad.
Adicionalmente, se sugiere mejorar la presentación de las evidencias, de manera que permitan verificar con claridad lo descrito en relación con la implementación de los controles y el monitoreo realizado. Esto facilitará a la OCI emitir recomendaciones u observaciones pertinentes sobre la efectividad de dichos controles.
Finalmente, se reitera la importancia de que la dependencia defina acciones concretas dentro del plan de tratamiento que contribuyan al fortalecimiento de la implementación de los controles y potencien su eficacia.</t>
  </si>
  <si>
    <t>Oportuna y adecuada atención de los mantenimientos preventivos y correctivos del parque automotor, infraesctrutura y equipamento de la entidad.</t>
  </si>
  <si>
    <t>3. Afectación en la seguridad e integridad de los colaboradores y visitantes de la entidad.</t>
  </si>
  <si>
    <t>El coordinador del GGA o a quien delegue trimestralmente verificará la atención adecuada y oportuna  de los mantenimientos  preventivos y correctivos del parque automotor, infraesctrutura y equipamento de la entidad con en el fin de constatar el cumplimiento al Plan Anual de mantenimientos preventivos y la oportunidad de atención a los mantenimientos correctivos por medio del reporte del aplicativo de Aranda y la matriz interna de parque automotor .En caso de identificar novedades se reportaran al profesional responsable de su ejecución para completar la actividad.
Evidencia
Acta de reunión
Correo electronico de novedades en caso de que aplique.</t>
  </si>
  <si>
    <t xml:space="preserve">
Deficiencia en la planeación y trámite de la contratación de los mantenimientos preventivos y correcitvos del parque automotor, infraesctrutura y equipamento de la entidad</t>
  </si>
  <si>
    <t>4. Pérdida de vida util o sobrecostos en el mantenimiento de los activos de la entidad</t>
  </si>
  <si>
    <t>El colaborador del GGA designado, semanalmente validará el estado  los procesos pre-contractuales y contractueles establecidos en el Plan Anual  Adquisiciones Inicial registrando su seguimiento en cada una de las lineas del PAA, con en el fin de presentar oportunamente la radicación  de los procesos de contratación del GGA de acuerdo al plan anual de mantenimientos.En caso de encontrar alguna inconsistencia será reportado al profesional encargado por medio de correo electronico.
Evidencia:
Seguimiento Plan Anual de Adquisiciones. 
Correo electronico de novedades en caso de que aplique.</t>
  </si>
  <si>
    <t>Gestión del Talento Humano</t>
  </si>
  <si>
    <t>Liderar y ejecutar las actividades propias de la administración y gestión del talento humano, aplicando la normativa vigente y los procedimientos establecidos en la entidad para contribuir a la consecución de los objetivos institucionales.</t>
  </si>
  <si>
    <t>Posibilidad de efecto dañoso a los recursos públicos por la inoportunidad o inadecuado trámite en la generación de la nómina por parte del grupo de gestión humana a causa de las inconsistencias o cobro de incapacidades.</t>
  </si>
  <si>
    <t>Causa 1: Novedades registradas extemporáneamente.</t>
  </si>
  <si>
    <t xml:space="preserve">Incumplimiento de lineamiento normativo </t>
  </si>
  <si>
    <t>El profesional delegado de nómina del Grupo de Gestión Humana, mensualmente, revisa las novedades  entregadas por las areas, los servidores y terceros, teniendo en cuenta las fechas establecidas en la circular anual, si al momento de recibir la novedad esta se encuentra fuera del plazo establecido en la circular puede causarse en el mes siguiente; posteriormente, el profesional ingresa en el sistema nómina las novedades, con el fin de generar la prenómina, para verficación por parte del líder del proceso en conjunto con quienes realizarón el cargue de las mismas. Si al realizar esta última revisión se encuentran inconsistencias, se procede al ajuste en el sistema y se informa al líder del proceso. 
Evidencias: Prénomina</t>
  </si>
  <si>
    <t>Atendiendo los lineamiento de la Oficina Asesora de Planeación durante el primer cuatrimestre se  modifica el riesgo, ajustándolo como riesgo fiscal, manteniendo causas, consecuencias y controles definidos anteriormente. 
Reporte I cuatrimestre 2025.
Los controles son efectivos, por lo tanto no se ha materializado el riesgo. Durante el primer cuatrimestre del año se generó la circular MJD-CIR25-0000007 con el cronograma de las fichas limite para presentación de las  novedades de nómina de forma mensual, dando cumplimiento al mismo en el periodo correspondiente. Conforme a lo establecido en el cronograma de nómina, las novedades que lleguen posterior al cierre de las mismas serán incluida en la nómina del mes siguiente, garantizando que la nómina no tenga afectación por inclusión de novedades de forma extemporánea.
Así  mismo se realiza permanentemente seguimiento para el recobro de las incapacidades ante las distintas entidades promotoras de salud EPS, a través de su aplicativo; como se evidencia en el cuadro control de vigencia 2025.
Evidencias:
- Circular MJD-CIR25-0000007
- Prenomina 
- Cuadro control incapacidades.</t>
  </si>
  <si>
    <t xml:space="preserve">Reporte segundo cuatrimestre 2025. Los controles son efectivos, por lo tanto no se ha materializado el riesgo. 
Durante el segundo cuatrimestre del año se generó prenomina de los meses de mayo, junio, julio y agosto de 2025, conforme a lo establecido en el cronograma de nómina en la circular MJD-CIR25-0000007, las novedades que llegaron posteriores al cierre, se incluyeron en la nómina del mes siguiente, garantizando que la nómina no tuviera afectación por inclusión de novedades de forma extemporánea.
Así  mismo se realizó permanentemente seguimiento para el recobro de las incapacidades ante las distintas entidades promotoras de salud EPS, a través de su aplicativo; como se evidencia en el cuadro control.
Evidencias:
- Circular MJD-CIR25-0000007 expedida en el 1er cuatrimestre del año.
- Prenomina meses de mayo, junio, julio y agosto de 2025
- Cuadro control incapacidades información meses mayo, junio, julio y agosto de 2025.
Nota: Finalmente, con relación a la sugerencia de generación del plan de tratamiento se indica que mientras el riesgo residual se encuentre en moderado y los controles se mantengan, no se generará actividades adicionales como tratamiento del riesgo, pues no es requerido.  </t>
  </si>
  <si>
    <t>Se evidencia que la dependencia ha realizado la actualización de la definición del riesgo.
Asimismo, a través de las evidencias aportadas, se puede constatar que la implementación de los controles se continúa realizando de manera adecuada y conforme a lo establecido.
Se recomienda a la dependencia efectuar una revisión periódica del análisis de causas, con el fin de mantener una gestión del riesgo dinámica y alineada con los objetivos institucionales.
Finalmente, se considera importante que la dependencia defina acciones dentro del plan de tratamiento orientadas a fortalecer la implementación de los controles y mejorar su efectividad.</t>
  </si>
  <si>
    <t>Causa 2: Desconocimiento y/o incumplimiento de los funcionarios para la presentación de novedades o presentación de incapacidades.</t>
  </si>
  <si>
    <t>Investigación disciplinaria</t>
  </si>
  <si>
    <t>El profesional delegado de nómina del Grupo de Gestión Humana, anualmente, realiza la programación del cierre de novedades de nómina (fechas máximas de posesión, vacaciones, licencias no remuneradas, encargos, entrega de la nómina, libranzas, etc.) la cual es presentada al coordinador del Grupo de Gestión Humana con el fin de generar su visto bueno, para posterior aprobación del ordenador del gasto, en caso de presentar inconsistencias, se solicita ajuste al profesional de nómina responsable, generada la corrección se remite nuevamente para firma. 
Evidencia: Circular anual programación novedades</t>
  </si>
  <si>
    <t>Causa 3:Falta de cobro de las incapacidades a la EPS en el término legal establecido.</t>
  </si>
  <si>
    <t>Detrimento patrimonial</t>
  </si>
  <si>
    <t>El profesional de nómina delegado del Grupo de Gestión Humana, mensualmente, con el propósito de evitar que hayan incapacidades sin radicar en las respectivas EPS, recibe la incapacidad por correo electrónico o por EPX y registra en el cuadro de control de incapacidades, posteriormente se radica en la página web de la EPS y a fin de mes se ingresa en el aplicativo de nómina. Si se identifica una incapacidad que no ha sido radicada, se procede a buscar el documento en la historia laboral del funcionario y se empieza el proceso de radicación.
Evidencia: Cuadro control Incapacidades</t>
  </si>
  <si>
    <t>Posibilidad de pérdida reputacional, disminución de la productividad y afectación al cumplimiento de los objetivos, ocasionada por la falta de formación de los servidores, la ausencia de espacios que fortalezcan el bienestar laboral y las debilidades en la prevención y promoción de la salud, derivadas de una inadecuada formulación, deficiente ejecución y débil articulación de los Planes de Talento Humano.</t>
  </si>
  <si>
    <t>Causa 1: Inadecuada formulación de los Planes de Talento Humano, al no contemplar de manera integral las necesidades de formación y bienestar.</t>
  </si>
  <si>
    <t>Bajo desempeño en la ejecución de funciones, errores en procesos misionales y dificultad para cumplir metas institucionales.</t>
  </si>
  <si>
    <t xml:space="preserve">Los profesionales responsables de los procesos de capacitación y bienestar del Grupo de Gestión Humana realizan la detección de temas a incluir en los planes a través de los diagnósticos de necesidades elaborados en último trimestre de cada vigencia, una vez validados sus resultados son priorizadas las necesidades de los servidores e incluidas en los planes anuales de bienestar y capacitación, estos planes son revisados y validados por el coordinador(a) del Grupo de Gestión Humana y el Comité de Bienestar Social, Capacitación, Estímulos e Incentivos, si se presentan inconsistencia, solicitan ajuste y una vez corregidos se públican en la página web para su implementación. 
Evidencia: Planes de Talento Humano con inclusión de diagnóstico </t>
  </si>
  <si>
    <t>Causa 1: Inadecuada formulación de los Planes de Talento Humano, al no contemplar de manera integral las necesidades de formación y bienestar.
Causa 3: Escasa implementación de espacios y programas de bienestar laboral, que fortalezca la motivación, el sentido de pertenencia y la calidad de vida de los servidores.</t>
  </si>
  <si>
    <t>Atendiendo los lineamiento de la Oficina Asesora de Planeación durante el primer cuatrimestre se  modifica el riesgo, ajustando a redacción del riesgo y tipo.
Reporte I cuatrimestre 2025.
Los controles son efectivos, por lo tanto no se ha materializado el riesgo. Durante el primer cuatrimestre del año se formularon los planes de talento humano 2025, dentro los cuales se encuentran el de PIC y Bienestar, que contienen los diagnósticos de las necesidades de la entidad. Así mismo se ha ejecutado los Planes conforme lo programado. 
Adicionalmente, en el primer cuatrimestre se revisaron los programas de vigilancia epimeológica. 
Trimestralmente se realiza seguimiento de los planes generando informe de gestión respectivo. 
Evidencias:
- Planes de Talento Humano 2025 -  https://www.minjusticia.gov.co/ministerio-co/recurso-humano/planes
- Programa de vigilancia epidemiológica (PVE)
- Infome seguimiento Planes TH 2025</t>
  </si>
  <si>
    <r>
      <rPr>
        <b/>
        <sz val="11"/>
        <color rgb="FF000000"/>
        <rFont val="Calibri"/>
        <scheme val="minor"/>
      </rPr>
      <t xml:space="preserve">Reporte segundo cuatrimestre 2025.
</t>
    </r>
    <r>
      <rPr>
        <sz val="11"/>
        <color rgb="FF000000"/>
        <rFont val="Calibri"/>
        <scheme val="minor"/>
      </rPr>
      <t xml:space="preserve">
Teniendo en cuenta el informe de seguimiento de los riesgos del primer cuatrimestre de 2025 de la Oficina de Control Interno, se realiza la revisión y ajuste de la redacción del riesgo, sus causas y efectos, con la asesoria y acompañamiento de la Oficina Asesora de Planeación y la Secretaria General. 
En cuanto a los controles, es necesario precisar que estos fueron revisados y ajustados en el seguimiento del primer cuatrimestre, estos se encuentran de acuerdo con las causas del riesgo, por lo cual se mantendrán los riesgos. En caso en que la OCI considere que no son adecuados, agradecemos indicar la razón, para poder analizar en una revisión posterior.
En este sentido, durante el segundo cuatrimestre del año se continua con la ejecución de los planes de talento humano de acuerdo con lo programado y los seguimientos e informes que se registran el DARUMA en el reporte de PAI de forma trimestral.
Evidencias:
- Planes de Talento Humano 2025 -  https://www.minjusticia.gov.co/ministerio-co/recurso-humano/planes (reportados 1er cuatrimestre)
- Programa de vigilancia epidemiológica (PVE) -  (reportados 1er cuatrimestre)
- Infome seguimiento Planes TH 2025</t>
    </r>
  </si>
  <si>
    <t>Para el presente seguimiento, se evidencia que la dependencia ha realizado la actualización de la definición del riesgo. No obstante, desde la OCI se recomienda revisar su redacción y estructura, teniendo en cuenta que la formulación de un riesgo de gestión debe seguir la siguiente lógica: Impacto + Causa Inmediata + Causa Raíz.
Lo anterior se sugiere debido a que, al momento de leer la definición, esta no resulta completamente comprensible, y es importante resaltar que una de las principales características de una adecuada definición del riesgo es su claridad.
Por otra parte, persisten las observaciones realizadas en el seguimiento anterior por parte de la OCI en cuanto a la identificación de causas y la definición de controles. En ese sentido, se hace un llamado a la dependencia para que subsane dichas debilidades y así avanzar hacia una gestión del riesgo más sólida y efectiva.
Finalmente, se reitera la importancia de que la dependencia defina acciones en el plan de tratamiento que contribuyan a fortalecer la implementación de los controles y aumenten su efectividad.</t>
  </si>
  <si>
    <t xml:space="preserve">Causa 2: Débil gestión en prevención y promoción de la salud laboral. </t>
  </si>
  <si>
    <t>Enfermedades de los colaboradores y mayor ausentismo laboral, incremento de incapacidades médicas</t>
  </si>
  <si>
    <t xml:space="preserve">El profesional del equipo de Seguridad y Salud en el Trabajo, del Grupo de Gestión Humana, realiza el programa de vigilancia epimiológica respectivo, programa de medicina preventiva o programa de entorno laboral saludable cuando se requiera, teniendo en cuenta las necesidades identificadas en los colaboradores a tráves de las encuestas, exámenes y revisiones periodicas, entre otras,con el fin de establecer las actividades adecuadas previniendo o interviniendo, situaciones presentadas, es presentado al lider de Seguridad y Salud y trabajo para su aprobación y en caso de señalarse ajustes, se debe corregir para iniciar su ejecución. 
Evidencia: revisión y Programas vigilancia epimiológica donde se evidencia el insumo para su formulación. </t>
  </si>
  <si>
    <t xml:space="preserve">Causa 3: Escasa implementación de espacios y programas de bienestar laboral, que fortalezca la motivación, el sentido de pertenencia y la calidad de vida de los servidores.
</t>
  </si>
  <si>
    <t>Desmotivación y pérdida del sentido de pertenencia,  .y deterioro del clima organizacional.</t>
  </si>
  <si>
    <t>Los lideres de temas en el Grupo de Gestión Humana junto con el enlace de calidad realizan seguimiento trimestral de las actividades programadas en los distintos planes con el fin de verfificar su cumplimiento de acuerdo al cronograma establecido, en caso de evidenciarse dificultades en el cumplimiento de las actividades, se realizar una reprogramación con su respectiva justificación. 
Evidencia: Informes trimestrales de seguimiento planes Talento Humano - Reporte en DARUMA PAI - GGH</t>
  </si>
  <si>
    <t>Causa 4: Deficiencia en la ejecución de los Planes de Talento Humano, ocasionada por falta de seguimiento para el cumplimiento de las actividades programadas.</t>
  </si>
  <si>
    <t>Incumplimiento en la implementación de programas de desarrollo, bienestar y salud laboral.</t>
  </si>
  <si>
    <t>Posibilidad de perdida reputacional por inasistencia a eventos en el exterior, debido a retrasos o incumplimientos de lineamientos para el trámite ante el DAPRE.</t>
  </si>
  <si>
    <t>Causa 1: Falencia en la revisión de requisitos por parte del GGH para el trámite ante el DAPRE.</t>
  </si>
  <si>
    <t>Falta de representación de la entidad, en temas de su competencia y misionalidad</t>
  </si>
  <si>
    <t xml:space="preserve">El profesional encargado del Grupo de Gestión Humana cada vez que se realiza solicitud de comisión o autorización de viaje al exterior por parte de un colaborador de la entidad, revisa la documentación remitida de acuerdo con lo establecido en la guía "Comisión de servicios o autorización de viajes internacionales"con el fin de establecer el cumplimieto con los lineamientos internos,   procedimiento acorde con lo requerido por el DAPRE o la normativa vigente , en caso de no cumplir con el procedimiento, se solicita los ajustes correspondientes al colaborador de la entidad que requiere la autorización  o aprobación del viaje para continuar con el trámite respectivo.
Evidencia: Correos solicitud de ajuste </t>
  </si>
  <si>
    <t>Causa 2: Falta de cumplimiento de lineamientos internos para la aprobación de las comisiones o autorización de viajes al exterior.</t>
  </si>
  <si>
    <t xml:space="preserve">Atendiendo los lineamiento de la Oficina Asesora de Planeación durante el primer cuatrimestre se  modifica el riesgo, ajustando a redacción del riesgo y tipo, así mismo, se incluyen una nueva causa y se ajustan los controles de acuerdo con lo establecido en la Guía Comisiones al Exterior - G-TH-01
Reporte I cuatrimestre 2025.
Los controles son efectivos, por lo tanto no se ha materializado el riesgo.
Durante el primer cuatrimestre del año se continuó con la revisión y en caso de considerar pertinente se solicitaron los ajustes correspondencientes de acuerdo con lo establecido en la Guía Comisiones al Exterior - G-TH-01, así mismo, se elaboraron los actos administrativos relacionados con la aprobación de las comisiones o autorizaciones de viajes al exterior.
Evidencias:
- Actos administrativos relacionados con la aprobación de las comisiones o autorizaciones de viajes al exterior - firmados
- Correos solicitud de ajuste 
</t>
  </si>
  <si>
    <t>Reporte segundo cuatrimestre 2025.
Los controles son efectivos, por lo tanto no se ha materializado el riesgo.
Durante el segundo cuatrimestre del año en razón a cambio de administración se dio la instrucción de detener las comisiones al exterior, por esta razón se expidieron 2 en el mes de mayo y 2 más iniciaron el proceso de recepción de documentos en el mes de agosto para viajes en septiembre de 2025. 
Para las comisiones generadas en el mes de mayo se continuo con el trámite y lineamientos establecidos en la Guía Comisiones al Exterior - G-TH-01 y en los casos que se requirió ajuste, este se realizó oportunamente. Con relación a las comisiones que fueron recepcionadas en agosto, se reportaran en el seguimiento del tercer cuatrimestre, debido a que el trámite y Resolución correspondiente se realizará en dicho periodo. 
Evidencias:
- Actos administrativos relacionados con la aprobación de las comisiones o autorizaciones de viajes al exterior - firmados (mayo 2025 Hong Kong)
- Correo solicitud de ajuste  (Angela acosta mayo 2025)</t>
  </si>
  <si>
    <t>Para el presente seguimiento, se evidencia que la definición del riesgo ha sido ajustada, encontrándose ahora alineada con la descripción y estructura propia de un riesgo de gestión.
Asimismo, se observa que la dependencia ha realizado un análisis de causas y ha implementado controles más adecuados para mitigar la materialización del riesgo.
A través de los documentos aportados, se constató el cumplimiento en la implementación de dichos controles.
Finalmente, es fundamental que la dependencia defina acciones dentro del plan de tratamiento que contribuyan a fortalecer la ejecución de los controles y aumenten su efectividad.</t>
  </si>
  <si>
    <t>Reprocesos internos</t>
  </si>
  <si>
    <t>El profesional encargado del Grupo de Gestión Humana revisa la aprobación por parte de la Presidencia de la República de la comisión de servicios al exterior (funcionarios) o de viaje internacional (contratistas) y de ser aprobado, elabora el acto administrativo para la firma del competente (Ministro(a) o Secretario General), el cual es revisado por el coordinador del Grupo de Gestión Humana en cuanto al cumplimiento de los lineamientos internos de la entidad, así como del DAPRE y en caso de requerir ajustes, solicita al funcionario que elaboró la resolución, su ajuste correspondiente.  
Evidencia: resolución de aprobación de la comisión o de autorización de viaje al exterior firmada.</t>
  </si>
  <si>
    <t>Gestión contra la Criminalidad y la Reincidencia</t>
  </si>
  <si>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</si>
  <si>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 xml:space="preserve">Posibilidad de afectación reputacional por la desconfianza de las comunidades en las entidades responsables de la implementación de la Política Nacional de Drogas, debido al desconocimiento por parte de los entes territoriales de los temas que se abordan en el marco de la instancia de toma de deciones en materia de drogas (Consejos Seccionales de Estupefacientes - CSE) </t>
  </si>
  <si>
    <t>Riesgo Estratégico</t>
  </si>
  <si>
    <t>6-Contribuir a la transformación de los territorios, el cuidado de la vida y el ambiente, a través de una nueva política de drogas.</t>
  </si>
  <si>
    <t>Causa 1:  Dificultades administrativas que generan retrasos en la contratación del personal especializado encargado de brindar acompañamiento y asistencia técnica para su correcta ejecución.</t>
  </si>
  <si>
    <t>Retraso en la implementación efectiva de la Política de Drogas en los territorios.</t>
  </si>
  <si>
    <r>
      <t>El asesor juridico para el tema contractual revisará y ajustará la documentación y la información durante la etapa precontractual de cada proceso de contratación. Este asesor asegurará que todos los aspectos técnicos y jurídicos estén en conformidad con las necesidades de la dependencia antes de la entrega de la documentación a la Secretaría General.</t>
    </r>
    <r>
      <rPr>
        <b/>
        <u/>
        <sz val="11"/>
        <color rgb="FF000000"/>
        <rFont val="Abadi"/>
        <family val="2"/>
      </rPr>
      <t xml:space="preserve">
Evidencia</t>
    </r>
    <r>
      <rPr>
        <sz val="11"/>
        <color rgb="FF000000"/>
        <rFont val="Abadi"/>
        <family val="2"/>
      </rPr>
      <t>: Soportes de diferentes versiones de los documentos previos y contractuales necesarios para gestionar los procesos de contratación, al igual que las solicitudes de gestión adelantadas por correo electrónico, en los cuales se observa la realización de actividades de control a cada uno de los textos y soportes de cada proceso contractual.</t>
    </r>
  </si>
  <si>
    <t>No aplica dada la evaluación del control</t>
  </si>
  <si>
    <t>Cada vez que se requiera</t>
  </si>
  <si>
    <t>Director (a) de Política de Drogas y Actividades Relacionadas</t>
  </si>
  <si>
    <t>Diferentes versiones de los documentos previos y contractuales necesarios para gestionar los procesos de contratación.</t>
  </si>
  <si>
    <t>La contratación del equipo territorial, se realizó en los meses de enero y febrero de 2025. Es importante indicar que hasta la fecha (abril de 2025), no se ha materializado el riesgo. No obstante, se requiere que el equipo territorial este vinculado a mediados del mes mes de enero.
Vinculo de acceso a las evidencias:
https://minjusticiagovco-my.sharepoint.com/:f:/g/personal/emilsen_nunez_minjusticia_gov_co/EstXlrycuMFFrxnqCvz4RS4B0S0CeNTNkw6elSSojeWwrw?e=wLvU2V</t>
  </si>
  <si>
    <r>
      <t>No se materializó el riesgo, el control ha sido efectivo</t>
    </r>
    <r>
      <rPr>
        <sz val="10"/>
        <color rgb="FF000000"/>
        <rFont val="Arial"/>
      </rPr>
      <t xml:space="preserve">
El riesgo se mitigó con la contratación del personal que permitiera avanzar con los procesos contractuales para atender el proceso de acompañamiento y asistencia técnica.</t>
    </r>
    <r>
      <rPr>
        <b/>
        <u/>
        <sz val="10"/>
        <color rgb="FF000000"/>
        <rFont val="Arial"/>
      </rPr>
      <t xml:space="preserve">
Evidencias</t>
    </r>
    <r>
      <rPr>
        <u/>
        <sz val="10"/>
        <color rgb="FF000000"/>
        <rFont val="Arial"/>
      </rPr>
      <t>:</t>
    </r>
    <r>
      <rPr>
        <sz val="10"/>
        <color rgb="FF000000"/>
        <rFont val="Arial"/>
      </rPr>
      <t xml:space="preserve"> Evidencias: documentos previos y contractuales del personal que acompaña y realiza las asistencias</t>
    </r>
    <r>
      <rPr>
        <b/>
        <sz val="10"/>
        <color rgb="FF000000"/>
        <rFont val="Arial"/>
      </rPr>
      <t xml:space="preserve">
Link de evidencias:</t>
    </r>
    <r>
      <rPr>
        <sz val="10"/>
        <color rgb="FF000000"/>
        <rFont val="Arial"/>
      </rPr>
      <t xml:space="preserve">  https://minjusticiagovco-my.sharepoint.com/:f:/r/personal/mauricio_ordonez_minjusticia_gov_co/Documents/Evidencias%20riesgos/DPDAR/R2025/2cuatrimestre2025?csf=1&amp;web=1&amp;e=cx8w50</t>
    </r>
  </si>
  <si>
    <t>En el presente seguimiento se evidencia que la dependencia ha realizado un ajuste en la definición del riesgo. Sin embargo, dicho ajuste aún carece de una estructura clara, ya que no es posible identificar de forma precisa el impacto, la causa inmediata y la causa raíz, tal como lo establece la Guía de Administración del Riesgo del DAFP. Por esta razón, se recomienda a la dependencia solicitar una mesa de trabajo con la OAP, con el fin de estructurar una definición del riesgo clara, coherente y comprensible.
Asimismo, aunque se observa una actualización en las causas, se sugiere a la dependencia realizar un análisis más profundo a través de la metodología que considere más adecuada, con el objetivo de identificar causas internas adicionales que puedan conducir a la materialización del riesgo.
En cuanto a los controles, se evidencia que no se han tenido en cuenta las recomendaciones previamente realizadas por la OCI. Los controles definidos carecen de una estructura adecuada, lo que impide evaluar su efectividad. Es importante recordar que, ante cualquier modificación en las causas, también deben actualizarse los controles correspondientes. Estos deben estar alineados con la realidad institucional y ser implementados de manera continua.
Por otro lado, persisten debilidades en la formulación de las acciones del plan de tratamiento. Se insta a la dependencia a subir al repositorio dispuesto por la OAP las evidencias que demuestren la implementación de los controles establecidos.
Se espera que, para el próximo seguimiento, la dependencia haya atendido las observaciones realizadas por la OCI en los diferentes seguimientos, subsanando así las debilidades identificadas. Finalmente, se reitera la recomendación de solicitar una mesa de trabajo con la OAP, a fin de fortalecer el proceso de administración del riesgo y corregir las deficiencias señaladas.</t>
  </si>
  <si>
    <t>Causa 2 Convocatoria  inadecuada de los entes territoriales a los consejos seccionales de estupefacientes para la implementación de la Política de Drogas a nivel regional.</t>
  </si>
  <si>
    <t>Débil impacto en los territorios de las acciones previstas en el Plan de Acción de la Política de Drogas.</t>
  </si>
  <si>
    <r>
      <t>El equipo de territorialización de la Poltica de Drogas oficiará a los entes territoriales, para la programación de las sesiones de los Consejos Seccionales de Estupefacientes en los que realizará acompañamiento y asistencia tècnica.</t>
    </r>
    <r>
      <rPr>
        <b/>
        <u/>
        <sz val="11"/>
        <color rgb="FF000000"/>
        <rFont val="Abadi"/>
        <family val="2"/>
      </rPr>
      <t xml:space="preserve">
Evidencia:</t>
    </r>
    <r>
      <rPr>
        <sz val="11"/>
        <color rgb="FF000000"/>
        <rFont val="Abadi"/>
        <family val="2"/>
      </rPr>
      <t xml:space="preserve"> Soportes de oficios y/o correo electronico dirigidos a los entes territoriales para la programaciòn de acompañamientos y asistencia tècnica.</t>
    </r>
  </si>
  <si>
    <t>Causa 2: Falta de actividad de la instancia en el territorio para el abordaje de la Polìtica Nacional de Drogas.</t>
  </si>
  <si>
    <t xml:space="preserve">Anual </t>
  </si>
  <si>
    <t>Oficios y/o correos, remitidos a los entes territoriales</t>
  </si>
  <si>
    <t>El 12 de febrero de 2025, la Dirección de Política de Drogas y Actividades Relacionadas, mediante oficio socializó el cronograma a los 32 departamentos los acompañamientos y asistencia técnica, que se realizarían en la presente vigencia.
En este se han adelantado acompañamiento y asistencia técnica a los entes territoriales en un total de 33 procesos discriminados de la siguiente manera:
9 Comités Departamentales de Drogas y/o Comités Distritales de Estupefacientes (como instancia técnica para el proceso de formulación, seguimiento y monitoreo)
7 Consejos Seccionales de Estupefacientes (como instancia de toma de decisiones en materia de drogas)
17 Mesas Técnicas (como parte de los procesos de fortalecimiento de capacidades y asistencia técnica para la territorialización de la Política Nacional de Drogas)
Vinculo evidencias:
https://minjusticiagovco-my.sharepoint.com/:f:/g/personal/emilsen_nunez_minjusticia_gov_co/EstXlrycuMFFrxnqCvz4RS4B0S0CeNTNkw6elSSojeWwrw?e=wLvU2V</t>
  </si>
  <si>
    <r>
      <t>No se materializó el riesgo, el control ha sido efectivo</t>
    </r>
    <r>
      <rPr>
        <sz val="10"/>
        <color rgb="FF000000"/>
        <rFont val="Arial"/>
      </rPr>
      <t xml:space="preserve">
El 12 de febrero de 2025, la Dirección de Política de Drogas y Actividades Relacionadas, mediante oficio socializó el cronograma a los 32 departamentos los acompañamientos y asistencia técnica, que se realizarían en la presente vigencia.</t>
    </r>
    <r>
      <rPr>
        <b/>
        <u/>
        <sz val="10"/>
        <color rgb="FF000000"/>
        <rFont val="Arial"/>
      </rPr>
      <t xml:space="preserve">
Evidencias</t>
    </r>
    <r>
      <rPr>
        <sz val="10"/>
        <color rgb="FF000000"/>
        <rFont val="Arial"/>
      </rPr>
      <t>: Oficios y/o correos, remitidos a los entes territoriales</t>
    </r>
    <r>
      <rPr>
        <b/>
        <u/>
        <sz val="10"/>
        <color rgb="FF000000"/>
        <rFont val="Arial"/>
      </rPr>
      <t xml:space="preserve">
Link de evidencias:</t>
    </r>
    <r>
      <rPr>
        <u/>
        <sz val="10"/>
        <color rgb="FF000000"/>
        <rFont val="Arial"/>
      </rPr>
      <t xml:space="preserve">
https://minjusticiagovco-my.sharepoint.com/:f:/r/personal/mauricio_ordonez_minjusticia_gov_co/Documents/Evidencias%20riesgos/DPDAR/R2025/2cuatrimestre2025?csf=1&amp;web=1&amp;e=cx8w50</t>
    </r>
  </si>
  <si>
    <t>Causa 3: Desconocimiento o falta de apropiación por parte de los entes territoriales sobre su rol en los CSE para la implementación de la Política de Drogas a nivel regional.</t>
  </si>
  <si>
    <t>Debilitamiento en el funcionamiento y efectividad de los CSE, lo que dificulta la coordinación y el seguimiento a la implementación de la Política de Drogas.</t>
  </si>
  <si>
    <r>
      <t>El equipo de territorialización de la Poltica de Drogas realizará acompañamiento y asistencia técnica  a los Consejos Seccionales de Estupefacientes de acuerdo con la programación para avanzar en el proceso de territorializaciòn de la Poìtica Nacional de Drogas.</t>
    </r>
    <r>
      <rPr>
        <b/>
        <u/>
        <sz val="11"/>
        <color rgb="FF000000"/>
        <rFont val="Abadi"/>
        <family val="2"/>
      </rPr>
      <t xml:space="preserve">
Evidencia:</t>
    </r>
    <r>
      <rPr>
        <sz val="11"/>
        <color rgb="FF000000"/>
        <rFont val="Abadi"/>
        <family val="2"/>
      </rPr>
      <t xml:space="preserve"> Informe semestral de acompañamiento y asistencia técnica a los entes territoriales en el marco de las sesiones de Consejos Seccionales de Estupefacientes.</t>
    </r>
  </si>
  <si>
    <t>De acuerdo con la programación realizada durante lal vigencia</t>
  </si>
  <si>
    <t>Informe  de acompañamiento y asistencia técnica a los entes territoriales</t>
  </si>
  <si>
    <r>
      <t>No se materializó el riesgo, el control ha sido efectivo</t>
    </r>
    <r>
      <rPr>
        <sz val="10"/>
        <color rgb="FF000000"/>
        <rFont val="Arial"/>
      </rPr>
      <t xml:space="preserve">
Se realizó acompañamiento y asistencia técnica a los entes territoriales en el marco de las sesiones de los Comités Departamentales / Distrital de Drogas y las sesiones de los Consejos Seccionales de Estupefacientes de conformidad con las funciones de: asesorar y acompañar los Consejos Seccionales de Estupefacientes para brindar herramientas que fortalezcan la implementación de la política pública de drogas a nivel territorial, de conformidad con las políticas trazadas por el Consejo Nacional de Estupefacientes-CNE, y en articulación con las demás entidades competentes, así como, acompañar a las administraciones departamentales y locales en la formulación, implementación, seguimiento y evaluación de los Planes Integrales Departamentales de Drogas, de conformidad con lo establecido por el Consejo Nacional de Estupefacientes CNE, y la normatividad vigente. Se adelantaron un total de ciento veintidós (122) sesiones de acompañamiento distribuidas en los treinta y dos (32) departamentos y el distrito de Bogotá.</t>
    </r>
    <r>
      <rPr>
        <b/>
        <u/>
        <sz val="10"/>
        <color rgb="FF000000"/>
        <rFont val="Arial"/>
      </rPr>
      <t xml:space="preserve">
Evidencias:</t>
    </r>
    <r>
      <rPr>
        <sz val="10"/>
        <color rgb="FF000000"/>
        <rFont val="Arial"/>
      </rPr>
      <t xml:space="preserve"> informe semestral de acompañamiento y asistencia técnica a los territorios (febrero – junio 2025)
Link de evidencias: https://minjusticiagovco-my.sharepoint.com/:f:/r/personal/mauricio_ordonez_minjusticia_gov_co/Documents/Evidencias%20riesgos/DPDAR/R2025/2cuatrimestre2025?csf=1&amp;web=1&amp;e=cx8w50</t>
    </r>
  </si>
  <si>
    <t>Fortalecimiento del Principio de Seguridad Jurídica</t>
  </si>
  <si>
    <t>Fortalecer el Principio Constitucional de Seguridad Jurídica mediante la defensa del Ordenamiento Jurídico, la formulación de lineamientos o metodologías para desarrollar procesos de depuración del Ordenamiento Jurídico y la divulgación normativa a través de la administración funcional del sistema SUIN-JURISCOL.</t>
  </si>
  <si>
    <r>
      <rPr>
        <b/>
        <sz val="11"/>
        <color theme="1"/>
        <rFont val="Abadi"/>
        <family val="2"/>
      </rPr>
      <t xml:space="preserve">[Impacto] </t>
    </r>
    <r>
      <rPr>
        <sz val="11"/>
        <color theme="1"/>
        <rFont val="Abadi"/>
        <family val="2"/>
      </rPr>
      <t xml:space="preserve">Posibilidad de afectación reputacional, </t>
    </r>
    <r>
      <rPr>
        <b/>
        <sz val="11"/>
        <color theme="1"/>
        <rFont val="Abadi"/>
        <family val="2"/>
      </rPr>
      <t>[Causa inmediata]</t>
    </r>
    <r>
      <rPr>
        <sz val="11"/>
        <color theme="1"/>
        <rFont val="Abadi"/>
        <family val="2"/>
      </rPr>
      <t xml:space="preserve"> por incumplimiento de los términos procesales establecidos legalmente para intervenir en los procesos de  control abstracto de constitucionalidad o de nulidad en que deba intervenírse ante la Corte Constitucional o el Consejo de Estado, </t>
    </r>
    <r>
      <rPr>
        <b/>
        <sz val="11"/>
        <color theme="1"/>
        <rFont val="Abadi"/>
        <family val="2"/>
      </rPr>
      <t>[Causa raíz]</t>
    </r>
    <r>
      <rPr>
        <sz val="11"/>
        <color theme="1"/>
        <rFont val="Abadi"/>
        <family val="2"/>
      </rPr>
      <t xml:space="preserve"> debido a fallas en el seguimiento procesal de los procesos de control abstracto de constitucionalidad o de nulidad en que la DDDOJ deba intervenir.</t>
    </r>
  </si>
  <si>
    <t>3-Propiciar el acceso y la divulgación del ordenamiento jurídico a través de herramientas digitales, con enfoques diferenciales, para masificar el conocimiento de las normas vigentes.</t>
  </si>
  <si>
    <t>Causa 1: No realizar el seguimiento con la periodicidad establecida, a los procesos de control abstracto de constitucionalidad o de legalidad de competencia de la DDDOJ</t>
  </si>
  <si>
    <t>Intervención procesal extemporánea en los procesos de competencia de la DDDOJ</t>
  </si>
  <si>
    <t>El funcionario designado, semanalmente, a fin de evitar que el seguimiento no se realice de forma oportuna o tenga fallas de la información, revisa y actualiza la información que consigna en los formatos de seguimiento procesal de la Corte Constitucional y del Consejo de Estado, excepto durante la vacancia judicial. 
Cuando al actualizar uno de los formatos de seguimiento se encuentre información relevante que merezca ser actualizada o corregida, la corrección o actualización se incluirá en las siguientes actualizaciones de los formatos.Evidencia: Formatos de seguimiento procesal de la Corte Constitucional y del Consejo de Estado (F-SJ-02-01 y F-SJ-02-02)</t>
  </si>
  <si>
    <t>Causa 1:Que el seguimiento no se haga de forma oportuna</t>
  </si>
  <si>
    <t>Cada vez que se actualiza la información procesal en los formatos de seguimiento procesal o de vencimientos de Corte Constitucional y Consejo de Estado se revisa la información previamente registrada frente a la que esté publicada digitalmente en las páginas web de estas corporaciones.</t>
  </si>
  <si>
    <t>Cada vez que se detecten errores en la información que se registra.</t>
  </si>
  <si>
    <t>Director DDDOJ</t>
  </si>
  <si>
    <t>Correo electrónico institucional</t>
  </si>
  <si>
    <r>
      <rPr>
        <b/>
        <sz val="11"/>
        <color theme="1"/>
        <rFont val="Calibri"/>
        <family val="2"/>
        <scheme val="minor"/>
      </rPr>
      <t>REPORTE PRIMER CUATRIMESTRE DE 2025:</t>
    </r>
    <r>
      <rPr>
        <sz val="11"/>
        <color theme="1"/>
        <rFont val="Calibri"/>
        <family val="2"/>
        <scheme val="minor"/>
      </rPr>
      <t xml:space="preserve">
El control SI fue efectivo para los procesos de Corte Constitucional y Consejo de Estado durante el primer cuatrimestre del 2025.
En los procesos a cargo de la DDDOJ se han confirmado los términos de los procesos, luego de que han sido fijadas en lista las demandas de la Corte Constitucional o notificadas las demandas o actuaciones del Consejo de Estado, para evitar el incumplimiento de los términos. 
</t>
    </r>
    <r>
      <rPr>
        <b/>
        <sz val="11"/>
        <color theme="1"/>
        <rFont val="Calibri"/>
        <family val="2"/>
        <scheme val="minor"/>
      </rPr>
      <t xml:space="preserve">Para reforzar la efectividad del control la DDDOJ realizará dos jornadas intensivas de capacitación sobre el procedimiento de Defensa del Ordenamiento Jurídico P-SJ-02 y sus riesgos de gestión en el año 2025 (una capacitación por semestre). Esto para garantizar que todo el equipo del grupo de Defensa del Ordenamiento Jurídico entienda, conozca y aplique rigurosamente el referido procedimiento y los controles de riesgos establecidos.
</t>
    </r>
    <r>
      <rPr>
        <sz val="11"/>
        <color theme="1"/>
        <rFont val="Calibri"/>
        <family val="2"/>
        <scheme val="minor"/>
      </rPr>
      <t xml:space="preserve">
EVIDENCIAS:
1. Vínculo al Formato de control de vencimientos de términos procesales de Corte Constitucional y Consejo de Estado F-SJ-02-03 
https://minjusticiagovco-my.sharepoint.com/:f:/r/personal/dirordenamiento_juridico_minjusticia_gov_co/Documents/P_SeguridadJuridica/DefensaOrdJuridico/Defensa%202025/Vencimientos%202025?csf=1&amp;web=1&amp;e=ZsDhDE
2. Vínculo al Formato de seguimiento procesal de Corte Constitucional F-SJ-02-01
https://minjusticiagovco-my.sharepoint.com/:f:/r/personal/dirordenamiento_juridico_minjusticia_gov_co/Documents/P_SeguridadJuridica/DefensaOrdJuridico/Defensa%202025/Seguimiento%20procesos%20CC%202025?csf=1&amp;web=1&amp;e=ONjkTJ
3. Vínculo al Formato de seguimiento procesal de Consejo de Estado F-SJ-02-02
https://minjusticiagovco-my.sharepoint.com/:f:/r/personal/dirordenamiento_juridico_minjusticia_gov_co/Documents/P_SeguridadJuridica/DefensaOrdJuridico/Defensa%202025/Seguimiento%20procesos%20CC%202025?csf=1&amp;web=1&amp;e=nEl5fH</t>
    </r>
  </si>
  <si>
    <r>
      <rPr>
        <b/>
        <sz val="11"/>
        <color theme="1"/>
        <rFont val="Calibri"/>
        <family val="2"/>
        <scheme val="minor"/>
      </rPr>
      <t>REPORTE PRIMER CUATRIMESTRE DE 2025:</t>
    </r>
    <r>
      <rPr>
        <sz val="11"/>
        <color theme="1"/>
        <rFont val="Calibri"/>
        <family val="2"/>
        <scheme val="minor"/>
      </rPr>
      <t xml:space="preserve">
El riesgo no se materializó. El control SI fue efectivo para los procesos de Corte Constitucional y Consejo de Estado durante el segundo cuatrimestre del 2025.
En los procesos a cargo de la DDDOJ se han confirmado los términos de los procesos, luego de que han sido fijadas en lista las demandas de la Corte Constitucional o notificadas las demandas o actuaciones del Consejo de Estado, para evitar el incumplimiento de los términos. 
</t>
    </r>
    <r>
      <rPr>
        <b/>
        <sz val="11"/>
        <color theme="1"/>
        <rFont val="Calibri"/>
        <family val="2"/>
        <scheme val="minor"/>
      </rPr>
      <t xml:space="preserve">Se revisaron y ajustaron con la OAP los riesgos del proceso misional P-SJ-01, en atención a las recomendaciones de la Oficina de Control Interno (OCI) y conforme a lo trabajado en la reunión con la Oficina Asesora de Planeación (OAP). Como resultado de esta revisión conjunta, se ajustaron los riesgos correspondientes a los procedimientos P-SJ-01 y P-SJ-02.
</t>
    </r>
    <r>
      <rPr>
        <sz val="11"/>
        <color theme="1"/>
        <rFont val="Calibri"/>
        <family val="2"/>
        <scheme val="minor"/>
      </rPr>
      <t xml:space="preserve">
</t>
    </r>
    <r>
      <rPr>
        <b/>
        <sz val="11"/>
        <color theme="1"/>
        <rFont val="Calibri"/>
        <family val="2"/>
        <scheme val="minor"/>
      </rPr>
      <t xml:space="preserve">Para reforzar la efectividad del control la DDDOJ realizo la primera de dos jornadas intensivas programadas para el año 2025 (una en cada semestre), de capacitación sobre el procedimiento de Defensa del Ordenamiento Jurídico P-SJ-02 y sus riesgos de gestión. Esto busca garantizar que todo el equipo del grupo de Defensa del Ordenamiento Jurídico entienda, conozca y aplique rigurosamente el referido procedimiento y los controles de riesgos establecidos.
</t>
    </r>
    <r>
      <rPr>
        <sz val="11"/>
        <color theme="1"/>
        <rFont val="Calibri"/>
        <family val="2"/>
        <scheme val="minor"/>
      </rPr>
      <t xml:space="preserve">
</t>
    </r>
    <r>
      <rPr>
        <b/>
        <sz val="11"/>
        <color theme="1"/>
        <rFont val="Calibri"/>
        <family val="2"/>
        <scheme val="minor"/>
      </rPr>
      <t>EVIDENCIAS:</t>
    </r>
    <r>
      <rPr>
        <sz val="11"/>
        <color theme="1"/>
        <rFont val="Calibri"/>
        <family val="2"/>
        <scheme val="minor"/>
      </rPr>
      <t xml:space="preserve">
1. Vínculo al Formato de control de vencimientos de términos procesales de Corte Constitucional y Consejo de Estado F-SJ-02-03 
2. Vínculo al Formato de seguimiento procesal de Corte Constitucional F-SJ-02-01
3. Vínculo al Formato de seguimiento procesal de Consejo de Estado F-SJ-02-02
4. </t>
    </r>
    <r>
      <rPr>
        <b/>
        <sz val="11"/>
        <color theme="1"/>
        <rFont val="Calibri"/>
        <family val="2"/>
        <scheme val="minor"/>
      </rPr>
      <t xml:space="preserve">Adicional: </t>
    </r>
    <r>
      <rPr>
        <sz val="11"/>
        <color theme="1"/>
        <rFont val="Calibri"/>
        <family val="2"/>
        <scheme val="minor"/>
      </rPr>
      <t xml:space="preserve">Formato asistencia a primera capacitación virtual desarrollada en el marco de la ejecución del PMP vigente. </t>
    </r>
  </si>
  <si>
    <t>En el presente seguimiento no se evidencia que la dependencia haya tomado acciones correctivas frente a la materialización del riesgo reportada en el último seguimiento correspondiente a la vigencia 2024.
Es fundamental que la dependencia actualice la definición del riesgo, revise e identifique nuevas causas, y rediseñe los controles necesarios, incorporando acciones tanto preventivas como correctivas que eviten una nueva materialización del riesgo.
Se recomienda a la dependencia programar una mesa de trabajo con la OAP, con el fin de abordar esta situación de manera articulada y técnica, ya que, tras la materialización del riesgo, no es posible asegurar que los controles actuales sean efectivos si no se han ajustado.
Finalmente, se espera que para el próximo seguimiento se hayan subsanado las debilidades identificadas por la OCI, tanto en este seguimiento como en los anteriores realizados durante la vigencia 2024.</t>
  </si>
  <si>
    <t>Causa 2: Seguimiento a los procesos de control abstracto de constitucionalidad o de legalidad de competencia de la DDDOJ que contenga errores de información procesal</t>
  </si>
  <si>
    <t>Investigación de carácter disciplinarios para el funcionario</t>
  </si>
  <si>
    <t xml:space="preserve">El funcionario designado, luego de fijadas en lista las demandas de la Corte Constitucional o notificadas las demandas o actuaciones del Consejo de Estado, para evitar el incumplimiento de los términos en los procesos en los que se vaya a intervenir, confirma los términos de los procesos. En caso de registrarse información imprecisa en el formato de control, esta se corregirá. Evidencia: Formato de control de vencimientos de términos procesales de Corte Constitucional y Consejo de Estado F-SJ-02-03    </t>
  </si>
  <si>
    <t>Causa 2:Que el seguimiento no refleje la realidad</t>
  </si>
  <si>
    <r>
      <rPr>
        <b/>
        <sz val="11"/>
        <color theme="1"/>
        <rFont val="Abadi"/>
        <family val="2"/>
      </rPr>
      <t>[Impacto]</t>
    </r>
    <r>
      <rPr>
        <sz val="11"/>
        <color theme="1"/>
        <rFont val="Abadi"/>
        <family val="2"/>
      </rPr>
      <t xml:space="preserve"> Posibilidad de afectación reputacional  del Sistema Único de Información Normativa -SUIN-Juriscol- ante la ciudadanía </t>
    </r>
    <r>
      <rPr>
        <b/>
        <sz val="11"/>
        <color theme="1"/>
        <rFont val="Abadi"/>
        <family val="2"/>
      </rPr>
      <t>[Causa inmediata]</t>
    </r>
    <r>
      <rPr>
        <sz val="11"/>
        <color theme="1"/>
        <rFont val="Abadi"/>
        <family val="2"/>
      </rPr>
      <t xml:space="preserve"> por desactualización de la información normativa incorporada en  el sistema</t>
    </r>
    <r>
      <rPr>
        <b/>
        <sz val="11"/>
        <color theme="1"/>
        <rFont val="Abadi"/>
        <family val="2"/>
      </rPr>
      <t xml:space="preserve"> [Causa raíz]</t>
    </r>
    <r>
      <rPr>
        <sz val="11"/>
        <color theme="1"/>
        <rFont val="Abadi"/>
        <family val="2"/>
      </rPr>
      <t xml:space="preserve"> debido a incumplimiento de la programación establecida para cargar en el sistema la información normativa obtenida de las fuentes primarias (quienes la producen: Diario Oficial, Corte Constitucional y Consejo de Estado).</t>
    </r>
  </si>
  <si>
    <t>Causa 1: Incumplimiento de la programación de cargue del sistema por parte del funcionario designado .</t>
  </si>
  <si>
    <t>Pérdida de imagen por desactualización del sistema SUIN-Juriscol, frente a lo programado</t>
  </si>
  <si>
    <t>Mayor</t>
  </si>
  <si>
    <t>El funcionario designado, mensualmente, a fin de llevar un control de las tareas asignadas y evitar el incumplimiento de la programación de cargue del sistema, hace seguimiento y revisión del avance de la ejecución de la programación de carguer del sistema. Si al momento de hacer el seguimiento se identifica que una normativa no ha sido cargada en el sistema de acuerdo con lo programado, se hace el requerimiento al funcionario o contratista al que se asignó cargarla para que lo haga. Si por alguna razón el funcionario o contratista no puede realizar el cargue se designara a otro que deberá hacerlo en el menor tiempo posible. Evidencia: Formato Control General
Correos electronicos 
Reasignación del cargue de ser necesario</t>
  </si>
  <si>
    <t>Causa 1:Incumplimiento de la programación de cargue del sistema por parte del funcionario designado .</t>
  </si>
  <si>
    <t xml:space="preserve">El funcionario designado programa y asigna el cargue de información normativa en el sistema teniendo en cuenta la carga laboral y la eficacia operativa de las personas encargadas de cargar información normativa en el sistema, esto, para reducir la posibilidad de que se afecte el cumplimiento de la programación de cargue del sistema. </t>
  </si>
  <si>
    <t>Cada vez que se presente un incumplimiento injustificado o irrazonable en la programación de cargue de alguna información normativa programada</t>
  </si>
  <si>
    <t>REPORTE  PRIMER CUATRIMESTRE DE 2025:
El control SI ha sido efectivo durante el primer cuatrimestre de 2025:
1.) Se mantiene el control mensual de las tareas asignadas, así como el seguimiento y revisión del avance de la programación de cargue del sistema y no se ha incumplido el cargue de acuerdo con lo programado.
2.) No se han presentado fallas en la herramienta tecnológica que afecten el correcto funcionamiento del sistema.
3.) No se han detectado incumplimientos en el desarrollo de la programación de cargue del Sistema SUIN-Juriscol y, por ello, no ha sido necesario realizar, por esa causa, capacitaciones o talleres para el equipo de trabajo.
EVIDENCIAS:
1. CONTROL GENERAL: 
https://minjusticiagovco-my.sharepoint.com/:f:/r/personal/dirordenamiento_juridico_minjusticia_gov_co/Documents/P_SeguridadJuridica/Divulgacion/CONTROL%20GENERAL%20DE%20CARGUE%202025?csf=1&amp;web=1&amp;e=iU0gPr
2. CORREOS ELECTRÓNICOS: 
https://minjusticiagovco-my.sharepoint.com/:f:/r/personal/dirordenamiento_juridico_minjusticia_gov_co/Documents/P_SeguridadJuridica/Divulgacion/CORREOS%20CARGUE/2025?csf=1&amp;web=1&amp;e=BdtfkY
_________________________________________________</t>
  </si>
  <si>
    <r>
      <rPr>
        <b/>
        <sz val="11"/>
        <color theme="1"/>
        <rFont val="Calibri"/>
        <family val="2"/>
        <scheme val="minor"/>
      </rPr>
      <t>REPORTE SEGUNDO CUATRIMESTRE DE 2025:</t>
    </r>
    <r>
      <rPr>
        <sz val="11"/>
        <color theme="1"/>
        <rFont val="Calibri"/>
        <family val="2"/>
        <scheme val="minor"/>
      </rPr>
      <t xml:space="preserve">
</t>
    </r>
    <r>
      <rPr>
        <b/>
        <sz val="11"/>
        <color theme="1"/>
        <rFont val="Calibri"/>
        <family val="2"/>
        <scheme val="minor"/>
      </rPr>
      <t xml:space="preserve">El riesgo no se materializó. </t>
    </r>
    <r>
      <rPr>
        <sz val="11"/>
        <color theme="1"/>
        <rFont val="Calibri"/>
        <family val="2"/>
        <scheme val="minor"/>
      </rPr>
      <t xml:space="preserve">El control SI ha sido efectivo durante el segundo cuatrimestre de 2025:
1.) Se mantiene el control mensual de las tareas asignadas, así como el seguimiento y revisión del avance de la programación de cargue del sistema y no se ha incumplido el cargue de acuerdo con lo programado.
2.) No se han presentado fallas en la herramienta tecnológica que afecten el correcto funcionamiento del sistema.
3.) No se han detectado incumplimientos en el desarrollo de la programación de cargue del Sistema SUIN-Juriscol y, por ello, no ha sido necesario realizar, por esa causa, capacitaciones o talleres para el equipo de trabajo.
</t>
    </r>
    <r>
      <rPr>
        <b/>
        <sz val="11"/>
        <color theme="1"/>
        <rFont val="Calibri"/>
        <family val="2"/>
        <scheme val="minor"/>
      </rPr>
      <t>Se revisaron y ajustaron con la OAP los riesgos del proceso misional P-SJ-01, en atención a las recomendaciones de la Oficina de Control Interno (OCI) y conforme a lo trabajado en la reunión con la Oficina Asesora de Planeación (OAP). Como resultado de esta revisión conjunta, se ajustaron los riesgos correspondientes a los procedimientos P-SJ-01 y P-SJ-02.</t>
    </r>
    <r>
      <rPr>
        <sz val="11"/>
        <color theme="1"/>
        <rFont val="Calibri"/>
        <family val="2"/>
        <scheme val="minor"/>
      </rPr>
      <t xml:space="preserve">
</t>
    </r>
    <r>
      <rPr>
        <b/>
        <sz val="11"/>
        <color theme="1"/>
        <rFont val="Calibri"/>
        <family val="2"/>
        <scheme val="minor"/>
      </rPr>
      <t>EVIDENCIAS:</t>
    </r>
    <r>
      <rPr>
        <sz val="11"/>
        <color theme="1"/>
        <rFont val="Calibri"/>
        <family val="2"/>
        <scheme val="minor"/>
      </rPr>
      <t xml:space="preserve">
1. CONTROL GENERAL: 
2. CORREOS ELECTRÓNICOS: 
_________________________________________________</t>
    </r>
  </si>
  <si>
    <t>Se evidencia que la dependencia ha continuado con la implementación de los controles definidos, los cuales han demostrado ser efectivos hasta el momento. Sin embargo, se recomienda mantener una revisión y actualización constante de las causas que podrían generar la materialización del riesgo, así como de los controles establecidos.
Asimismo, es fundamental que la dependencia realice un análisis permanente del entorno, tanto interno como externo, con el propósito de identificar oportunamente factores que puedan propiciar la ocurrencia del riesgo y, de forma preventiva, implementar acciones tempranas que eviten su materialización.</t>
  </si>
  <si>
    <t>Causa 2: Fallas en la herramienta tecnológica que afecten el correcto funcionamiento del sistema</t>
  </si>
  <si>
    <t>Falta de disponibilidad para los usuarios, del sistema de información normativa SUIN-Juriscol</t>
  </si>
  <si>
    <t>El funcionario designado, cada vez que se presente un incidente grave de la herramienta tecnológica, con el fin de detectar y corregir las posibles fallas cuado ello sea factible, informará a la DTGIJ  para que esa direccion tome las decisiones e implemente las acciones que considere necesarias. Si al momento de detectar los incidentes estos se puede resolver directemente por parte del equipo de trabajo de la DDDOJ se procederá a remediarlo de forma inmediata y posteriormente se comunicará a la DTGIJ. Evidencia: Registro de incidentes en el sistema de mesa de ayuda ARANDA.
Solución, cuando sea posible, por parte de la DDDOJ.</t>
  </si>
  <si>
    <t xml:space="preserve"> Causa 2:Fallas en la herramienta tecnológica que afecten el correcto funcionamiento del sistema</t>
  </si>
  <si>
    <t>El funcionario designado, cada vez que detecta incumplimientos de la programación de cargue del Sistema SUIN-Juriscol y con fin de fortalecer en el equipo de trabajo el conocimiento del procedimiento y la guía de cargue de la información normativa, realiza virtual o presencialmente capacitaciones o talleres para el equipo de trabajo. Si al momento de realizar la capacitación o taller virtual o presencial se presenta una inasistencia mayor o igual a la tercera parte de los citados, se deberá realizar un segundo ejercicio para de esta manera poder dar cobertura a la totalidad del personal invitado. Si aún despues de la segunda citación se sigue presentando inasistencia, se enviará a través de correo la guía para conocimiento de los no asistentes. Evidencia: Asistencia a la capacitación o taller 
Presentación o grabación de la capacitación o taller virtual
Programación o citación a la capacitación
Envío de la guía a los no asistentes cuando así sea necesario</t>
  </si>
  <si>
    <r>
      <rPr>
        <b/>
        <sz val="11"/>
        <color theme="1"/>
        <rFont val="Abadi"/>
        <family val="2"/>
      </rPr>
      <t xml:space="preserve">[Impacto] </t>
    </r>
    <r>
      <rPr>
        <sz val="11"/>
        <color theme="1"/>
        <rFont val="Abadi"/>
        <family val="2"/>
      </rPr>
      <t xml:space="preserve">Deficiente depuración (derogación expresa) de disposiciones normativas formalmente vigentes que no debían depurarse </t>
    </r>
    <r>
      <rPr>
        <b/>
        <sz val="11"/>
        <color theme="1"/>
        <rFont val="Abadi"/>
        <family val="2"/>
      </rPr>
      <t>[Causa inmediata]</t>
    </r>
    <r>
      <rPr>
        <sz val="11"/>
        <color theme="1"/>
        <rFont val="Abadi"/>
        <family val="2"/>
      </rPr>
      <t xml:space="preserve">, porque la entidad que desarrolla un proceso de depuración normativa aplica incorrectamente los criterios de depuración normativa establecidos por la DDDOJ  </t>
    </r>
    <r>
      <rPr>
        <b/>
        <sz val="11"/>
        <color theme="1"/>
        <rFont val="Abadi"/>
        <family val="2"/>
      </rPr>
      <t xml:space="preserve"> [Causa raíz]</t>
    </r>
    <r>
      <rPr>
        <sz val="11"/>
        <color theme="1"/>
        <rFont val="Abadi"/>
        <family val="2"/>
      </rPr>
      <t>, por falta de claridad jurídica de la redacción de los criterios de depuración normativa establecidos por la DDDOJ en los lineamientos o metodologías de depuración normativa</t>
    </r>
  </si>
  <si>
    <t>Causa 1:Redacción insuficientemente clara, desde el punto de vista estrictamente tecnico-jurídico, de los criterios de depuración normativa que se incluyen en los lineamientos o metodologías de depuración normativa.</t>
  </si>
  <si>
    <t>Una deficiente depuración de la normativa objeto del  proceso de depuración del ordenamiento jurídico</t>
  </si>
  <si>
    <t>El equipo de trabajo del grupo de calidad normativa, cada vez que se va a redactar un nuevo documento de lineamientos o metodología de depuración normativa, revisa que la redacción de los criterios de depuración normativa sea jurídicamente clara. para facilitar que los criterios de depuración sean correctamente usados por las entidades que desarrollen procesos de depuración normativa. 
Si al momento de revisar el documento de lineamientos o metodología se identifica que  la redacción de algún criterio de depuración normativa no es jurídicamente clara,  el equipo de trabajo analiza, discute y  mejora la redacción para que resulte jurídicamente clara. 
Evidencia: documento con redacción corregido - correo electrónico</t>
  </si>
  <si>
    <t>El grupo de calidad normativa mejora la claridad jurídica de la redacción de los criterios de depuración normativa incluidos en los lineamientos o metodologías de depuración normativa, cuando una entidad que implementa un proceso de depuración normativa formule observaciones jurídicamente concretas, ciertas y pertinentes sobre la falta de claridad jurídica de los criterios de depuración normativa, para reducir el riesgo de que sean incorrectamente aplicados.</t>
  </si>
  <si>
    <t xml:space="preserve">Cada vez que que las entidades que implementen los lineamientos o metodologías de depuración normativa hagan observaciones o sugerencias en relación con la claridad jurídica de los criterios de depuración. </t>
  </si>
  <si>
    <t>REPORTE PRIMER CUATRIMESTRE 2025:
El control SI ha sido efectivo durante el primer cuatrimestre de 2025:
Las entidades que han implementado procesos de depuración normativa usando los criterios de depuración normativa incluidos en los lineamientos o metodologías de depuración normativa elaboradas por la DDDOJ, no han formulado observaciones sobre falta de claridad jurídica de la redacción de los criterios de depuración normativa, ni han expresado ninguna crítica o reparo sobre estos. Por lo anterior, las entidades usuarias de los criterios de depuración normativa no han reportado procesos deficientes de depuración normativa.
Adicionalmente, el equipo de trabajo del grupo de calidad normativa revispó en año 2024 la claridad jurídica de los criterios de depuración normativa que se encuentran vigentes. En el año 2025 se mantienen vigentes los criterios establecidos y ya revisados en 2024. La claridad de los criterios y su aceptación y aplicación por parte de las entidades que los han utilizado ha hecho que se mantengan sin cambios.
EVIDENCIA:
1. Evidencia de la revisión por el grupo de trabajo de los criterios de depuración actualmente vigentes:
(Borrador de documento metodológico versión 2024 revisado por el Coordinador del Grupo de Calidad Normativa de la DDDOJ y remitido a revisión del Director: (ii) Metodologías aprobadas y publicadas en su versión 2024 y vigente en 2025.)
https://minjusticiagovco-my.sharepoint.com/:f:/r/personal/dirordenamiento_juridico_minjusticia_gov_co/Documents/P_SeguridadJuridica/DepuracionNormativa/Evidencia%20control%20riesgos%20gesti%C3%B3n%20Depuraci%C3%B3n/Tercer%20cuatrimestre%202024?csf=1&amp;web=1&amp;e=oXBDkt
_______________________________</t>
  </si>
  <si>
    <t>Para el presente seguimiento, se observa que la dependencia no ha atendido las recomendaciones emitidas por la OCI respecto al ajuste del impacto en la definición del riesgo. Es importante recordar que el impacto debe reflejar la consecuencia más significativa que podría generar la materialización del riesgo para la entidad.
Adicionalmente, no se evidencia un trabajo de actualización en cuanto a la identificación de causas ni en la formulación de los controles actualmente establecidos para la gestión del riesgo.
Se recomienda que la dependencia avance en la actualización de estos elementos, con el fin de mantener una gestión del riesgo efectiva y permanente. Es fundamental tener en cuenta que los controles pierden efectividad si no se ajustan a las condiciones actuales y continúan basados en lineamientos desactualizados. Por ello, se sugiere incorporar nuevos controles o definir acciones específicas dentro del plan de tratamiento que contribuyan de forma directa a mitigar la materialización del riesgo identificado.</t>
  </si>
  <si>
    <t>Acceso a la Justicia</t>
  </si>
  <si>
    <t>Generar lineamientos, herramientas y acciones que propicien el acceso a la justicia a trav´pes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</si>
  <si>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Posibilidad de afectación reputacional derivada de deficiencias en la calidad de los lineamientos para las Comisarías de Familia, por una formulación insuficientemente validada, debido a la ausencia de procesos efectivos de análisis integrales o de mecanismos de revisión y control de calidad antes de su expedición.</t>
  </si>
  <si>
    <t>Causa 1: Insuficiente análisis para la integración de insumos relevantes en la formulación de los lineamientos</t>
  </si>
  <si>
    <t>Lineamientos desarticulados o poco pertinentes para el servicio comisarial.</t>
  </si>
  <si>
    <t>El (a) Director (a) de Justicia Formal, cada vez que se formule un lineamiento, garantizará que este cuente con sustento suficiente, basado en los insumos relevantes disponibles, para asegurar su pertinencia y aplicabilidad.
EVIDENCIA: documento de insumos recopilados y analizados; conceptos jurídicos o técnicos emitidos; informes o diagnósticos de política pública o sectoriales; actas de reuniones técnicas o comités de revisión; correos electrónicos o memorandos de validación interna; versiones preliminares y finales del lineamiento con observaciones incorporadas; publicación oficial o registro del lineamiento expedido o demas documentos que demuestren el sustento de los lineamientos.</t>
  </si>
  <si>
    <t>Aplicar, en cada proceso de formulación de lineamientos, los controles definidos de integración de insumos y revisión de calidad, de manera que se garantice un sustento suficiente (jurídico, técnico, sectorial, de política pública u otros que correspondan), y se asegure su coherencia, pertinencia y corrección antes de la expedición.</t>
  </si>
  <si>
    <t>Cuando aplique</t>
  </si>
  <si>
    <t>Coordinador del Grupo de Gestión para el Fortalecimiento de Comisarías de Familia - Director (a) de Justicia Formal</t>
  </si>
  <si>
    <t>Carpeta o expediente con Documentos de insumos recopilados y analizados (jurídicos, técnicos, sectoriales, de política pública, etc.; Informes o diagnósticos que soporten la necesidad del lineamiento (cuando apliquen); disposiciones normativas, conceptos jurídicos o técnicos emitidos; Actas de reuniones técnicas o de comités de revisión; Correos electrónicos o memorandos de validación interna; Documentos (correo y otros) que evidencien revisión o devolución al equipo formulador en caso de ajustes; o publicación oficial o registro del lineamiento expedido.</t>
  </si>
  <si>
    <t>En el primes bimestre de la vigencia 2025 se realizo socializacion de la estrategia para implementacion de Comisarias de Familia Moviles, el cual se realizo por medio de un webinar el cual tuvo lugar el 27 de febrero de 2025, atravez del Subsitio de Conexcion Justicia, este seminario conto con la participacion de 532 personas
En el segundo bimestre de la vigencia 2025 se realizo socializacion de la actualización de los Lineamientos para el servicio de atención comisarial, el cual se realizo por medio de un webinar el cual tuvo lugar el 06 de marzo de 2025, atravez del Subsitio de Conexcion Justicia, este seminario conto con la participacion de 541 persona</t>
  </si>
  <si>
    <t>De acuerdo con las recomendaciones dadas por la OCI, las evidencias del primer reporte de seguimiento fueron cargadas en las carpetas dispuestas por la OAP para tal fin, en el respectivo periodo.
Por otra parte, se realizó una modificación y ajustes en la formulación del riesgo de gestión, sus causas, consecuencias y controles, atendiendo las recomendaciones previas.
Teniendo en cuenta lo anterior, el seguimiento a los controles propuestos se iniciara a partir del mes de septiembre, cubriendo el último cuatrimestre de la vigencia.
Adicionalmente, para el segundo cuatrimestre de la vigencia no se generaron líneamientos por parte de la Dirección, asociados al tema de comisarías.</t>
  </si>
  <si>
    <t>En el presente seguimiento persisten las falencias previamente identificadas por la OCI durante los seguimientos de la vigencia 2024. Por tal motivo, se exhorta a la dependencia a corregir las debilidades detectadas, con el fin de permitir una adecuada evaluación de la efectividad y fortalecer el proceso de administración del riesgo dentro de la entidad.
Asimismo, resulta fundamental que la dependencia remita las evidencias que demuestren la implementación de los controles definidos, lo cual permitirá verificar su ejecución y analizar su efectividad.
Se espera que, para el próximo seguimiento, las observaciones formuladas por la OCI hayan sido atendidas y subsanadas.</t>
  </si>
  <si>
    <t>Causa 2: Ausencia de revisión y control de calidad antes de la expedición de los lineamientos.</t>
  </si>
  <si>
    <t>Expedición de lineamientos con errores u omisiones de forma y contenido</t>
  </si>
  <si>
    <t>El (a) Director (a) de Justicia Formal, cada vez que se formule un lineamiento, garantizará que este sea objeto de revisión y control de calidad, con el fin de verificar su coherencia y evitar errores u omisiones antes de su expedición. En caso de encontrarse inconsistencias, el documento será devuelto al equipo formulador para su ajuste previo a la publicación.
EVIDENCIA: actas de revisión, correos electrónicos o memorandos de devolución o aprobación, documento final ajustado, aprobación del documento final o aprobación para publicación oficial del lineamiento.</t>
  </si>
  <si>
    <t>Generar lineamientos, herramientas y acciones que propicien el acceso a la justicia a través de la articulación y coordinación para el desarrollo de iniciativas sectoriales, la implementación de estrategias y actividades con enfoque étnico, de género y para las personas con discapacidad, la promoción y uso de los métodos de resolución de conflictos en los territorios, la implementación de modelos de atención y el fortalecimiento de Comisarías de Familia y Consultorios Jurídicos, en desarrollo de las políticas y las competencias del Ministerio de Justicia y del Derecho</t>
  </si>
  <si>
    <t xml:space="preserve">Posibilidad de afectación reputacional por incorrecta aplicación de los métodos de resolución de conflictos (MRC) en la implementación de los Programas y Estrategias de la Dirección de Métodos Alternativos de Solución de Conflictos, debido al desconocimiento de las ventajas y beneficios de su uso en los territorios </t>
  </si>
  <si>
    <t>Inadecuada  aplicación de los lineamientos establecidos en el procedimiento interno para la implementación del Programa Nacional de Casas de Justicia y Convivencia Cudadana, por parte del grupo de casas de justicia y convivencia ciudadana</t>
  </si>
  <si>
    <t xml:space="preserve">Deficiencias en la implementación del Programa Nacional de Casas de Justicia y Convivencia Ciudadana en los territorios, generando impacto negativo a la convivencia y la solución de los conflictos en las comunidades </t>
  </si>
  <si>
    <t>El(la) coordinador(a) del grupo de casas de justicia y convivencia ciudadana, quien designe o el enlace de calidad de la DMASC, realiza al menos una vez al año, una capacitación o socialización sobre los lineamientos establecidos en el procedimiento vigente del Programa Nacional de Casas de Justicia y Convivencia Ciudadana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casas de justicia y convivencia ciudadana.</t>
  </si>
  <si>
    <t>No se generó un plan de tratamiento sobre este riesgo, toda vez que que la evaluación del riesgo generó un resultado bajo; por lo tanto su opción de manejo es asumir o aceptar el riesgo. 
De acuerdo con lo establecido en el numeral 4.5.5 de la Guía de administración de riesgos G-MC-04 (versión 08) y en la Guía del DAFP para la Administración del Riesgo y el diseño de controles en entidades públicas Versión 6, se indica que cuando se acepta el riesgo "no se adopta ninguna medida que afecte la probabilidad e impacto del riesgo", lo cual significa que la entidad asume que el riesgo puede ocurrir y se hace responsable de sus consecuencias. Por tal motivo, y teniendo en cuenta el acompañamiento brindado por la OAP sobre este tema, no es necesario establecer un tratamiento dada la evaluación obtenida y la opción de manejo resultante.
Guías mencionadas: 
https://sii.minjusticia.gov.co/app.php/staff/document/tree/viewPublic?id=4277
https://www1.funcionpublica.gov.co/documents/28587410/34299967/Guia_administracion_riesgos_capitulo_riesgo_fiscal.pdf</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</si>
  <si>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en el marco del proceso de actualización de la guía para la expedición del concepto de viabilidad de los proyectos de ampliación, mantenimiento y/o dotación de la infraestructura física de los modelos de atención del Programa Nacional de Casas de Justicia y Convivencia Ciudadana, se realizaron dos sesiones de trabajo y la socialización de la propuesta de los documentos actualizados con el grupo interno. Por otra parte, en el marco del proceso de actualización del Manual operativo del Programa Nacional de Casas de Justicia y Convivencia Ciudadana, se llevaron a cabo cinco sesiones de trabajo orientadas al fortalecimiento de sus lineamientos.
Una vez culmine el proceso de actualización, se llevará a cabo la capacitación con los integrantes del grupo interno, con el fin de fortalecer la aplicación de los lineamientos.</t>
    </r>
    <r>
      <rPr>
        <i/>
        <sz val="11"/>
        <rFont val="Calibri"/>
        <family val="2"/>
        <scheme val="minor"/>
      </rPr>
      <t xml:space="preserve">
</t>
    </r>
    <r>
      <rPr>
        <i/>
        <sz val="11"/>
        <color rgb="FFFF0000"/>
        <rFont val="Calibri"/>
        <family val="2"/>
        <scheme val="minor"/>
      </rPr>
      <t xml:space="preserve">
</t>
    </r>
    <r>
      <rPr>
        <b/>
        <i/>
        <sz val="11"/>
        <rFont val="Calibri"/>
        <family val="2"/>
        <scheme val="minor"/>
      </rPr>
      <t xml:space="preserve">Evidencias: </t>
    </r>
    <r>
      <rPr>
        <i/>
        <sz val="11"/>
        <rFont val="Calibri"/>
        <family val="2"/>
        <scheme val="minor"/>
      </rPr>
      <t>actas y correo de socialización (actualización guía de viabilidad), actas (actualización manual operatiivo).
Link de evidencias carpeta denominada R36 Implementación Programas - subcarpeta Control 1 Capacitación PNCJCC:</t>
    </r>
    <r>
      <rPr>
        <i/>
        <sz val="11"/>
        <color rgb="FFFF0000"/>
        <rFont val="Calibri"/>
        <family val="2"/>
        <scheme val="minor"/>
      </rPr>
      <t xml:space="preserve"> </t>
    </r>
    <r>
      <rPr>
        <i/>
        <u/>
        <sz val="11"/>
        <color rgb="FF3366CC"/>
        <rFont val="Calibri"/>
        <family val="2"/>
        <scheme val="minor"/>
      </rPr>
      <t>https://minjusticiagovco-my.sharepoint.com/:f:/g/personal/mauricio_ordonez_minjusticia_gov_co/ElyTBrTPaqxIigLuvRfhMisB-5OOidavf8TZCOE48PEG2g?e=xjmrlb</t>
    </r>
    <r>
      <rPr>
        <i/>
        <sz val="11"/>
        <color rgb="FFFF0000"/>
        <rFont val="Calibri"/>
        <family val="2"/>
        <scheme val="minor"/>
      </rPr>
      <t xml:space="preserve">
</t>
    </r>
    <r>
      <rPr>
        <i/>
        <sz val="11"/>
        <rFont val="Calibri"/>
        <family val="2"/>
        <scheme val="minor"/>
      </rPr>
      <t xml:space="preserve">
Nota: En este periodo se realizó la revisión y ajuste en su totalidad del mapa de riesgos de gestión a cargo de la DMASC, con la asesoría y acompañamiento de la OAP. </t>
    </r>
  </si>
  <si>
    <r>
      <t>Monitoreo mayo a agosto de 2025</t>
    </r>
    <r>
      <rPr>
        <sz val="11"/>
        <rFont val="Calibri"/>
        <family val="2"/>
      </rPr>
      <t xml:space="preserve">
*</t>
    </r>
    <r>
      <rPr>
        <b/>
        <i/>
        <sz val="11"/>
        <rFont val="Calibri"/>
        <family val="2"/>
      </rPr>
      <t>Revisión de los riesgos DMASC.</t>
    </r>
    <r>
      <rPr>
        <i/>
        <sz val="11"/>
        <rFont val="Calibri"/>
        <family val="2"/>
      </rPr>
      <t xml:space="preserve"> </t>
    </r>
    <r>
      <rPr>
        <sz val="11"/>
        <rFont val="Calibri"/>
        <family val="2"/>
      </rPr>
      <t>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t>
    </r>
    <r>
      <rPr>
        <b/>
        <i/>
        <sz val="11"/>
        <rFont val="Calibri"/>
        <family val="2"/>
      </rPr>
      <t xml:space="preserve">
*Atención de observaciones de la OCI. </t>
    </r>
    <r>
      <rPr>
        <sz val="11"/>
        <rFont val="Calibri"/>
        <family val="2"/>
      </rPr>
      <t>En la revisión realizada, se efectuó nuevamente el análisis de causas y consecuencias, conforme con lo solicitado por la OCI. Asimismo, teniendo en cuenta la evaluación del tratamiento del riesgo en nivel bajo, con la opción de manejo de asumir el riesgo, se elaboró la respectiva justificación en cumplimiento de los lineamientos establecidos por el Ministerio y el DAFP en materia de riesgos.</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b/>
        <sz val="11"/>
        <color rgb="FF0070C0"/>
        <rFont val="Calibri"/>
        <family val="2"/>
      </rPr>
      <t xml:space="preserve">
CONTROL 1 GCJCC (CUMPLIDO).</t>
    </r>
    <r>
      <rPr>
        <sz val="11"/>
        <color rgb="FF0070C0"/>
        <rFont val="Calibri"/>
        <family val="2"/>
      </rPr>
      <t xml:space="preserve"> </t>
    </r>
    <r>
      <rPr>
        <sz val="11"/>
        <rFont val="Calibri"/>
        <family val="2"/>
      </rPr>
      <t>Se realizaron dos (2) capacitaciones dirigidas al grupo CJCC sobre los lineamientos del Programa: Guía de la implementación de la Estrategia Móvil de Casas de Justicia y Convivencia Ciudadana y la Guía para la expedición del concepto de viabilidad de los proyectos de ampliación, mantenimiento y/o dotación de la infraestructura física de casas de justicia y centros de convivencia ciudadana, cada una con las evaluaciones en el marco de las capacitaciones efectuadas y las socializaciones respectivas. Asimismo, se continúa avanzando en la actualización del manual operativo del Programa.</t>
    </r>
    <r>
      <rPr>
        <i/>
        <sz val="11"/>
        <rFont val="Calibri"/>
        <family val="2"/>
      </rPr>
      <t xml:space="preserve">
Evidencias: actas, socializaciones, soportes de avance en la actualización del manual operativo. Link de evidencias carpeta denominada R.Programas - subcarpeta C1 CJCC: </t>
    </r>
    <r>
      <rPr>
        <i/>
        <sz val="11"/>
        <color rgb="FF0000FF"/>
        <rFont val="Calibri"/>
        <family val="2"/>
      </rPr>
      <t>https://minjusticiagovco-my.sharepoint.com/:f:/g/personal/mauricio_ordonez_minjusticia_gov_co/Ek7U6r7LkD1GtRDVV9NWH4MBrw804CuFVcZzYdxI5DNzsA?e=pPAm0L</t>
    </r>
    <r>
      <rPr>
        <b/>
        <sz val="11"/>
        <color rgb="FF808080"/>
        <rFont val="Calibri"/>
        <family val="2"/>
      </rPr>
      <t xml:space="preserve">
CONTROL 2 GJE (CUMPLIDO ENE-ABR 2025)</t>
    </r>
    <r>
      <rPr>
        <b/>
        <sz val="11"/>
        <rFont val="Calibri"/>
        <family val="2"/>
      </rPr>
      <t xml:space="preserve">. </t>
    </r>
    <r>
      <rPr>
        <sz val="11"/>
        <rFont val="Calibri"/>
        <family val="2"/>
      </rPr>
      <t>La ejecución de este control se cumplió con corte a abril de 2025, como se registró en el monitoreo respectivo y en las evidencias aportadas.</t>
    </r>
    <r>
      <rPr>
        <b/>
        <sz val="11"/>
        <color rgb="FF0070C0"/>
        <rFont val="Calibri"/>
        <family val="2"/>
      </rPr>
      <t xml:space="preserve">
CONTROL 3 GCEDAAC (CUMPLIDO).</t>
    </r>
    <r>
      <rPr>
        <sz val="11"/>
        <rFont val="Calibri"/>
        <family val="2"/>
      </rPr>
      <t xml:space="preserve"> Se realizaron cuatro (4) capacitaciones dirigidas al equipo CEDAAC sobre el manejo del SICAAC y el nuevo procedimiento de visitas de control, inspección y vigilancia,  conforme con lo establecido en la nomatividad vigente. De esta manera, se fortalecieron los conocimientos del personal sobre la aplicación de los lineamientos establecidos, elementos normativos para la verificación de obligaciones legales, reglamentarias y de la prestación del servicios a los centros de conciliación, arbitraje y amigable composición a través del acta de la visita y  aspectos tecnologicos para fortalecer el manejo y uso del SICAAC.  En la capacitación del procedimiento realizada el 6 de mayo se realizó la evaluación correspondiente. Asimismo, la Directora DMASC llevó a cabo la socialización del procedimiento con todo el personal de la dependencia.</t>
    </r>
    <r>
      <rPr>
        <i/>
        <sz val="11"/>
        <rFont val="Calibri"/>
        <family val="2"/>
      </rPr>
      <t xml:space="preserve">
Evidencias: actas de las capacitaciones, presentación, socialización. Link de evidencias carpeta denominada R.Programas - subcarpeta C3 CEDAAC:  </t>
    </r>
    <r>
      <rPr>
        <i/>
        <sz val="11"/>
        <color rgb="FF0000FF"/>
        <rFont val="Calibri"/>
        <family val="2"/>
      </rPr>
      <t>https://minjusticiagovco-my.sharepoint.com/:f:/g/personal/mauricio_ordonez_minjusticia_gov_co/EssvAUjqyldGlEcWmsRETjEBH1Q8uwq1evBq21QccHS7ig?e=hbSmbx</t>
    </r>
    <r>
      <rPr>
        <b/>
        <sz val="11"/>
        <color rgb="FF0070C0"/>
        <rFont val="Calibri"/>
        <family val="2"/>
      </rPr>
      <t xml:space="preserve">
CONTROL 4 GSL (CUMPLIDO).</t>
    </r>
    <r>
      <rPr>
        <sz val="11"/>
        <color rgb="FF0070C0"/>
        <rFont val="Calibri"/>
        <family val="2"/>
      </rPr>
      <t xml:space="preserve"> </t>
    </r>
    <r>
      <rPr>
        <sz val="11"/>
        <rFont val="Calibri"/>
        <family val="2"/>
      </rPr>
      <t>En este monitoreo se reportan las dos (2) capacitaciones realizadas al grupo de Sistemas Locales de Justicia en abril de 2025, en las cuales se fortaleció al equipo de trabajo en la ejecución de la Estrategia.</t>
    </r>
    <r>
      <rPr>
        <i/>
        <sz val="11"/>
        <rFont val="Calibri"/>
        <family val="2"/>
      </rPr>
      <t xml:space="preserve">
Evidencias: soporte de capacitaciones. Link de evidencias carpeta denominada R.Programas - subcarpeta C4 SLJ: </t>
    </r>
    <r>
      <rPr>
        <sz val="11"/>
        <color rgb="FF0000FF"/>
        <rFont val="Calibri"/>
        <family val="2"/>
      </rPr>
      <t>https://minjusticiagovco-my.sharepoint.com/:f:/g/personal/mauricio_ordonez_minjusticia_gov_co/EmRDnK0R2FtGkL31U45w8b4B2j7gFlgjgQBLntm80aRIdQ?e=gPuDjr</t>
    </r>
  </si>
  <si>
    <t>Se evidencia que la dependencia continúa con la implementación de los controles establecidos para mitigar la materialización del riesgo.
No obstante, se recomienda que la dependencia realice un análisis continuo y actualizado de las causas, tal como ha sido sugerido por la OCI en seguimientos anteriores. Esta práctica contribuirá a una gestión del riesgo más adecuada y alineada con los cambios del entorno institucional.</t>
  </si>
  <si>
    <t>Inadecuada aplicación de los lineamientos establecidos en el procedimiento interno para brindar acompañamiento técnico para la implementación de la conciliación en equidad, por parte del grupo de justicia en equidad.</t>
  </si>
  <si>
    <t>Limitaciones en la calidad y efectividad del acompañamiento técnico brindado, que pueden derivar en una implementación parcial o deficiente de la conciliación en equidad en los territorios, afectando el acceso efectivo a mecanismos alternativos de resolución de conflictos.</t>
  </si>
  <si>
    <t xml:space="preserve">El(la) coordinador(a) del grupo de justicia en equidad, quien designe o el enlace de calidad de la DMASC, realiza al menos una vez al año, una capacitación o socialización sobre los lineamientos establecidos en el procedimiento vigente del Programa Nacional de Justicia en Equidad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justicia en equidad.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</si>
  <si>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realizó capacitación para fortalecer al grupo de justicia en equidad y a integrantes del equipo transversal de la DMASC, en la aplicación del procedimiento que fue formalizado en el SIG el 30 de septiembre de 2024 P-AJ-17 (V01), denominado: “a</t>
    </r>
    <r>
      <rPr>
        <i/>
        <sz val="11"/>
        <rFont val="Calibri"/>
        <family val="2"/>
        <scheme val="minor"/>
      </rPr>
      <t>compañamiento, asesoría técnica y operativa para la implementación de la conciliación en equidad”</t>
    </r>
    <r>
      <rPr>
        <sz val="11"/>
        <rFont val="Calibri"/>
        <family val="2"/>
        <scheme val="minor"/>
      </rPr>
      <t>. Durante la sesión se generó la evaluación y retroalimentación correspondiente, lo cual quedó consignado en el acta respectiva.</t>
    </r>
    <r>
      <rPr>
        <i/>
        <sz val="11"/>
        <rFont val="Calibri"/>
        <family val="2"/>
        <scheme val="minor"/>
      </rPr>
      <t xml:space="preserve">
</t>
    </r>
    <r>
      <rPr>
        <b/>
        <i/>
        <sz val="11"/>
        <rFont val="Calibri"/>
        <family val="2"/>
        <scheme val="minor"/>
      </rPr>
      <t xml:space="preserve">Evidencias: </t>
    </r>
    <r>
      <rPr>
        <i/>
        <sz val="11"/>
        <rFont val="Calibri"/>
        <family val="2"/>
        <scheme val="minor"/>
      </rPr>
      <t xml:space="preserve">Acta, presentación, correo de envío del acta.
Link de evidencias carpeta denominada R36 Implementación Programas - subcarpeta Control 2 Capacitación PNJE: </t>
    </r>
    <r>
      <rPr>
        <i/>
        <u/>
        <sz val="11"/>
        <color rgb="FF3366CC"/>
        <rFont val="Calibri"/>
        <family val="2"/>
        <scheme val="minor"/>
      </rPr>
      <t>https://minjusticiagovco-my.sharepoint.com/:f:/g/personal/mauricio_ordonez_minjusticia_gov_co/EmtVHZqI2pxKr2Mqgl-YFjEBkTlQSA_CPK9DTu6a0nuSnQ?e=uJbEnj</t>
    </r>
    <r>
      <rPr>
        <i/>
        <sz val="11"/>
        <rFont val="Calibri"/>
        <family val="2"/>
        <scheme val="minor"/>
      </rPr>
      <t xml:space="preserve">
Nota: En este periodo se realizó la revisión y ajuste en su totalidad del mapa de riesgos de gestión a cargo de la DMASC, con la asesoría y acompañamiento de la OAP. </t>
    </r>
  </si>
  <si>
    <t>Inadecuada aplicación de los lineamientos establecidos en los procedimientos internos para la implementación del Programa Nacional de Conciliación Extrajudicial en Derecho, Arbitraje y Amigable Composición, por parte del grupo de conciliación en Derecho, Arbitraje y Amigable Composición</t>
  </si>
  <si>
    <t xml:space="preserve">Inconsistencias en la implementación del Programa Nacional de Conciliación Extrajudicial en Derecho, Arbitraje y Amigable Composición en los territorios. </t>
  </si>
  <si>
    <t>El(la) coordinador(a) del grupo de conciliación extrajudicial en derecho, arbitraje y amigable composición, quien designe o el enlace de calidad de la DMASC realiza al menos una vez al año, una capacitación o socialización sobre los lineamientos establecidos en los procedimientos vigentes del Programa Nacional de Conciliación Extrajudicial en Derecho, Arbitraje y Amigable Composición para fortalecer  su ejecución;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conciliación extrajudicial en derecho, arbitraje y amigable composición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</si>
  <si>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t>
    </r>
    <r>
      <rPr>
        <i/>
        <sz val="11"/>
        <rFont val="Calibri"/>
        <family val="2"/>
        <scheme val="minor"/>
      </rPr>
      <t xml:space="preserve">
</t>
    </r>
    <r>
      <rPr>
        <b/>
        <i/>
        <sz val="11"/>
        <rFont val="Calibri"/>
        <family val="2"/>
        <scheme val="minor"/>
      </rPr>
      <t>Evidencias</t>
    </r>
    <r>
      <rPr>
        <i/>
        <sz val="11"/>
        <rFont val="Calibri"/>
        <family val="2"/>
        <scheme val="minor"/>
      </rPr>
      <t xml:space="preserve">: Actas, presentación, envio de documentos.
Link de evidencias carpeta denominada R36 Implementación Programas - subcarpeta Control 3 Capacitación PNCEDAAC: </t>
    </r>
    <r>
      <rPr>
        <i/>
        <u/>
        <sz val="11"/>
        <color rgb="FF3366CC"/>
        <rFont val="Calibri"/>
        <family val="2"/>
        <scheme val="minor"/>
      </rPr>
      <t>https://minjusticiagovco-my.sharepoint.com/:f:/g/personal/mauricio_ordonez_minjusticia_gov_co/EnZgYjwMNFdDsssm8FrnpeIBLJY8MoYESqCqSBpjgo6Btg?e=T9GTO8</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gestión a cargo de la DMASC, con la asesoría y acompañamiento de la OAP. </t>
    </r>
  </si>
  <si>
    <t>Inadecuada aplicación de los lineamientos establecidos en el manual interno para la implementación de la Estrategia Sistemas Locales de Justicia, por parte del grupo de sistemas locales de justicia.</t>
  </si>
  <si>
    <t>Desarticulación en la implementación territorial de la Estrategia de Sistemas Locales de Justicia, generando inconsistencias operativas, retrasos en la ejecución y debilitamiento institucional en los territorios</t>
  </si>
  <si>
    <t>El(la) coordinador(a) del grupo de sistemas locales de justicia, quien designe o el enlace de calidad de la DMASC, realiza al menos una vez al año, una capacitación o socialización sobre los lineamientos vigentes de la Estrategia Sistemas Locales de Justicia para fortalecer su ejecución; al final, y efectúa una evaluación a los asistentes. Si no asiste la mayoría de los integrantes se envía el material a través del correo electrónico. 
Evidencia: soporte de asistencia a la capacitación o socialización con el material y evaluación respectiva, correo de envío del material. 
Este control aplica para el  grupo de sistemas locales de justicia.</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</si>
  <si>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Esta actividad se reportará en el segundo monitoreo. 
</t>
    </r>
    <r>
      <rPr>
        <i/>
        <sz val="11"/>
        <rFont val="Calibri"/>
        <family val="2"/>
        <scheme val="minor"/>
      </rPr>
      <t xml:space="preserve">Nota: En este periodo se realizó la revisión y ajuste en su totalidad del mapa de riesgos de gestión a cargo de la DMASC, con la asesoría y acompañamiento de la OAP. </t>
    </r>
  </si>
  <si>
    <t>Posibilidad de afectación reputacional por debilidades en la realización de las visitas de control, inspección y vigilancia que se ejercen sobre los centros de conciliación, arbitraje y amigable composición, debido a deficiencias en la planeación, la ejecución y en el diligenciamiento de los instrumentos, de conformidad con la normatividad vigente</t>
  </si>
  <si>
    <t>2-Impulsar el acceso inclusivo a la justicia y el reconocimiento de las justicias propias de los pueblos étnicos, para atender las necesidades jurídicas de las personas y comunidades a partir de enfoques diferenciales y diferenciados.</t>
  </si>
  <si>
    <t>Deficiencias en la planeación, ejecución  y diligenciamiento de instrumentos de las visitas de control, inspección y vigilancia que se realizan a los centros de conciliación, arbitraje y amigable composición</t>
  </si>
  <si>
    <t>Afectación en la calidad del servicio que prestan los centros de conciliación, arbitraje y amigable composición</t>
  </si>
  <si>
    <r>
      <rPr>
        <sz val="11"/>
        <color rgb="FF000000"/>
        <rFont val="Abadi"/>
      </rPr>
      <t xml:space="preserve">El(la) coordinador(a) del grupo de conciliación extrajudicial en derecho, arbitraje y amigable composición o el servidor designado, periódicamente, a fin de evitar el incumplimiento en la realización de las visitas de control, inspección y vigilancia de los centros de conciliación, arbitraje y amigable composición que deberán ser visitados en la vigencia, realizará la planeación acorde con los criterios establecidos e implementará medidas de seguimiento a su ejecución. Si las visitas no se pueden realizar de acuerdo con la planeación establecida, se gestionará su modificación.
</t>
    </r>
    <r>
      <rPr>
        <i/>
        <sz val="11"/>
        <color rgb="FF000000"/>
        <rFont val="Abadi"/>
      </rPr>
      <t xml:space="preserve">Evidencia: Planeación y seguimiento de las visitas, soportes de la modificación (si aplica).
</t>
    </r>
    <r>
      <rPr>
        <sz val="11"/>
        <color rgb="FF000000"/>
        <rFont val="Abadi"/>
      </rPr>
      <t xml:space="preserve">
</t>
    </r>
    <r>
      <rPr>
        <u/>
        <sz val="11"/>
        <color rgb="FF000000"/>
        <rFont val="Abadi"/>
      </rPr>
      <t>Este control aplica para el  grupo de conciliación extrajudicial en derecho, arbitraje y amigable composición</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</si>
  <si>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en desarrollo de la actualización del procedimiento de visitas de control, inspección y vigilancia se establecieron políticas de operación relacionadas con la planeación y se formuló un formato para llevar a cabo esta actividad; documentos que fueron socializados con el grupo CEDAAC, la Directora DMASC y la Señora Viceministra de Promoción de la Justicia. Se espera que en mayo de 2025 los lineamientos sean aprobados para iniciar su aplicación y realizar la planeación de las visitas del año 2025.</t>
    </r>
    <r>
      <rPr>
        <i/>
        <sz val="11"/>
        <rFont val="Calibri"/>
        <family val="2"/>
        <scheme val="minor"/>
      </rPr>
      <t xml:space="preserve">
</t>
    </r>
    <r>
      <rPr>
        <b/>
        <i/>
        <sz val="11"/>
        <rFont val="Calibri"/>
        <family val="2"/>
        <scheme val="minor"/>
      </rPr>
      <t>Evidencias:</t>
    </r>
    <r>
      <rPr>
        <i/>
        <sz val="11"/>
        <rFont val="Calibri"/>
        <family val="2"/>
        <scheme val="minor"/>
      </rPr>
      <t xml:space="preserve"> Actas, propuesta de procedimiento y propuesta de formato. 
Link de evidencias carpeta denominada R37 Visitas de Inspección - subcarpeta Control 1 Planeación visitas: </t>
    </r>
    <r>
      <rPr>
        <i/>
        <u/>
        <sz val="11"/>
        <color rgb="FF3366CC"/>
        <rFont val="Calibri"/>
        <family val="2"/>
        <scheme val="minor"/>
      </rPr>
      <t>https://minjusticiagovco-my.sharepoint.com/:f:/g/personal/mauricio_ordonez_minjusticia_gov_co/ElRzkc31MxdPnxb6uENOCdQBPOrqHcaaef4AHzFFVipyvA?e=pDzxMY</t>
    </r>
    <r>
      <rPr>
        <i/>
        <sz val="11"/>
        <rFont val="Calibri"/>
        <family val="2"/>
        <scheme val="minor"/>
      </rPr>
      <t xml:space="preserve">
Nota: En este periodo se realizó la revisión y ajuste en su totalidad del mapa de riesgos de gestión a cargo de la DMASC, con la asesoría y acompañamiento de la OAP. </t>
    </r>
  </si>
  <si>
    <r>
      <t>Monitoreo mayo a agosto de 2025</t>
    </r>
    <r>
      <rPr>
        <sz val="11"/>
        <rFont val="Calibri"/>
        <family val="2"/>
      </rPr>
      <t xml:space="preserve">
*</t>
    </r>
    <r>
      <rPr>
        <b/>
        <i/>
        <sz val="11"/>
        <rFont val="Calibri"/>
        <family val="2"/>
      </rPr>
      <t>Revisión de los riesgos DMASC.</t>
    </r>
    <r>
      <rPr>
        <i/>
        <sz val="11"/>
        <rFont val="Calibri"/>
        <family val="2"/>
      </rPr>
      <t xml:space="preserve"> </t>
    </r>
    <r>
      <rPr>
        <sz val="11"/>
        <rFont val="Calibri"/>
        <family val="2"/>
      </rPr>
      <t>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t>
    </r>
    <r>
      <rPr>
        <b/>
        <i/>
        <sz val="11"/>
        <rFont val="Calibri"/>
        <family val="2"/>
      </rPr>
      <t xml:space="preserve">
*Atención de observaciones de la OCI. </t>
    </r>
    <r>
      <rPr>
        <sz val="11"/>
        <rFont val="Calibri"/>
        <family val="2"/>
      </rPr>
      <t>En la revisión realizada, se efectuó nuevamente el análisis de causas y consecuencias, conforme con lo solicitado por la OCI. Igualmente, se llevó a cabo la modificación de uno de los controles establecidos. De la misma forma, teniendo en cuenta la evaluación del tratamiento del riesgo en nivel bajo, con la opción de manejo de asumir el riesgo, se elaboró la respectiva justificación en cumplimiento de los lineamientos establecidos por el Ministerio y el DAFP en materia de riesgos. Lo anterior, dando respuesta a la observación generada por la OCI y considerando que los controles implementados han sido sufiecientes para que no se haya materializado el riesgo.</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b/>
        <sz val="11"/>
        <color rgb="FF009999"/>
        <rFont val="Calibri"/>
        <family val="2"/>
      </rPr>
      <t xml:space="preserve">
CONTROL 1 (EN EJECUCIÓN). </t>
    </r>
    <r>
      <rPr>
        <sz val="11"/>
        <rFont val="Calibri"/>
        <family val="2"/>
      </rPr>
      <t>Se realizó con los integrantes del Grupo de Conciliación Extrajudicial en Derecho, Arbitraje y Amigable Composición una mesa de seguimiento a las visitas de inspección, control y vigilancia efectuadas sobre los centros de conciliación, arbitraje y amigable composición. Como resultado de este proceso, se identificaron fortalezas y debilidades en la ejecución de las diligencias, en el uso del SICAAC y en el diligenciamiento de los instrumentos. Asimismo, se presentaron los resultados de la revisión de los formatos, con el fin de fortalecer su correcto diligenciamiento. Se elaboró y remitió el acta de la sesión. La segunda mesa se programará para el último cuatrimestre de 2025.</t>
    </r>
    <r>
      <rPr>
        <i/>
        <sz val="11"/>
        <rFont val="Calibri"/>
        <family val="2"/>
      </rPr>
      <t xml:space="preserve">
Evidencias: acta de la mesa de seguimiento y correo de envío. Link de evidencias carpeta denominada R.Visitas VIC - subcarpeta C1 mesa de seguimiento:  </t>
    </r>
    <r>
      <rPr>
        <i/>
        <sz val="11"/>
        <color rgb="FF0000FF"/>
        <rFont val="Calibri"/>
        <family val="2"/>
      </rPr>
      <t>https://minjusticiagovco-my.sharepoint.com/:f:/g/personal/mauricio_ordonez_minjusticia_gov_co/EvxsrVpg7fJCsMza3JMZus4ByRIwT7bZYXoylRUOv1LQ2Q?e=oqYvg2</t>
    </r>
    <r>
      <rPr>
        <sz val="11"/>
        <rFont val="Calibri"/>
        <family val="2"/>
      </rPr>
      <t xml:space="preserve">
 </t>
    </r>
    <r>
      <rPr>
        <b/>
        <sz val="11"/>
        <color rgb="FF0070C0"/>
        <rFont val="Calibri"/>
        <family val="2"/>
      </rPr>
      <t xml:space="preserve">
CONTROL 2 CEDAAC (CUMPLIDO). </t>
    </r>
    <r>
      <rPr>
        <sz val="11"/>
        <rFont val="Calibri"/>
        <family val="2"/>
      </rPr>
      <t>Se realizaron cuatro (4) capacitaciones dirigidas al equipo CEDAAC sobre el manejo del SICAAC y el nuevo procedimiento de visitas de control, inspección y vigilancia,  conforme con lo establecido en la nomatividad vigente. De esta manera, se fortalecieron los conocimientos del personal sobre la aplicación de los lineamientos establecidos, elementos normativos para la verificación de obligaciones legales, reglamentarias y de la prestación del servicios a los centros de conciliación, arbitraje y amigable composición a través del acta de la visita y  aspectos tecnologicos para fortalecer el manejo y uso del SICAAC. En la capacitación del procedimiento realizada el 6 de mayo se realizó la evaluación correspondiente. Asimismo, la Directora DMASC llevó a cabo la socialización del procedimiento con todo el personal de la DMASC.</t>
    </r>
    <r>
      <rPr>
        <i/>
        <sz val="11"/>
        <rFont val="Calibri"/>
        <family val="2"/>
      </rPr>
      <t xml:space="preserve">
Evidencias: actas de las capacitaciones, presentación, socialización. Link de evidencias carpeta denominada R.Visitas VIC - subcarpeta C2 capacitaciones:  </t>
    </r>
    <r>
      <rPr>
        <i/>
        <sz val="11"/>
        <color rgb="FF0000FF"/>
        <rFont val="Calibri"/>
        <family val="2"/>
      </rPr>
      <t>https://minjusticiagovco-my.sharepoint.com/:f:/g/personal/mauricio_ordonez_minjusticia_gov_co/Et0IP9wonqRJvgh4nnWMSSABw6NNW7YG7344dzOLndTikg?e=MacljK</t>
    </r>
  </si>
  <si>
    <t>Se ha constatado que la dependencia continúa con la implementación de los controles establecidos para prevenir la materialización del riesgo.
Sin embargo, se recomienda realizar una revisión periódica y exhaustiva de las causas que podrían originar dicho riesgo, con el propósito de anticiparse a posibles escenarios y fortalecer una administración del riesgo proactiva, alineada con el cumplimiento de los objetivos institucionales.
Adicionalmente, se observa que la dependencia ha eliminado las acciones del plan de tratamiento, las cuales resultan fundamentales para reforzar la mitigación del riesgo. Por lo tanto, se sugiere reincorporarlas dentro de la matriz de riesgos de gestión, ya sea como acciones específicas del plan de tratamiento o mediante la formulación de nuevos controles orientados a abordar causas puntuales.</t>
  </si>
  <si>
    <t>Desconocimiento de los procedimientos o lineamientos establecidos para la realización de las visitas de control,  inspección y vigilancia a los centros de conciliación, arbitraje y amigable composición</t>
  </si>
  <si>
    <t>Incumplimiento en la aplicación de la normatividad vigente e investigaciones disciplinarias</t>
  </si>
  <si>
    <r>
      <rPr>
        <sz val="11"/>
        <color rgb="FF000000"/>
        <rFont val="Abadi"/>
      </rPr>
      <t xml:space="preserve">El(la) coordinador(a) del grupo de conciliación extrajudicial en derecho, arbitraje y amigable composición, quien designe o el enlace de calidad de la DMASC, realiza al menos una vez al año, una capacitación o socialización sobre los lineamientos y formatos establecidos en el procedimiento vigente de visitas de control, inspección y vigilancia, así como, sobre el diligenciamiento de los instrumentos de visita, con el fin de fortalecer su ejecución; y efectúa una evaluación a los asistentes. Si no asiste la mayoría de los integrantes se envía el material a través del correo electrónico. 
</t>
    </r>
    <r>
      <rPr>
        <i/>
        <sz val="11"/>
        <color rgb="FF000000"/>
        <rFont val="Abadi"/>
      </rPr>
      <t xml:space="preserve">Evidencia: soporte de asistencia a la capacitación o socialización con el material y evaluación respectiva, correo de envío del material. 
</t>
    </r>
    <r>
      <rPr>
        <sz val="11"/>
        <color rgb="FF000000"/>
        <rFont val="Abadi"/>
      </rPr>
      <t xml:space="preserve">
</t>
    </r>
    <r>
      <rPr>
        <u/>
        <sz val="11"/>
        <color rgb="FF000000"/>
        <rFont val="Abadi"/>
      </rPr>
      <t>Este control aplica para el grupo de conciliación extrajudicial en derecho, arbitraje y amigable composición</t>
    </r>
  </si>
  <si>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t>
    </r>
    <r>
      <rPr>
        <i/>
        <sz val="11"/>
        <rFont val="Calibri"/>
        <family val="2"/>
        <scheme val="minor"/>
      </rPr>
      <t xml:space="preserve">
</t>
    </r>
    <r>
      <rPr>
        <b/>
        <i/>
        <sz val="11"/>
        <rFont val="Calibri"/>
        <family val="2"/>
        <scheme val="minor"/>
      </rPr>
      <t>Evidencias</t>
    </r>
    <r>
      <rPr>
        <i/>
        <sz val="11"/>
        <rFont val="Calibri"/>
        <family val="2"/>
        <scheme val="minor"/>
      </rPr>
      <t xml:space="preserve">: Actas, presentación, envio de documentos.
Link de evidencias carpeta denominada R37 Visitas de Inspección - subcarpeta Control 2 Socialización lineamientos: </t>
    </r>
    <r>
      <rPr>
        <i/>
        <u/>
        <sz val="11"/>
        <color rgb="FF3366CC"/>
        <rFont val="Calibri"/>
        <family val="2"/>
        <scheme val="minor"/>
      </rPr>
      <t>https://minjusticiagovco-my.sharepoint.com/:f:/g/personal/mauricio_ordonez_minjusticia_gov_co/Esa8I4fwZUBFhS4OUwwNCpAByzw6JhznJHEg5J6TFyCcJQ?e=hH6nm3</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gestión a cargo de la DMASC, con la asesoría y acompañamiento de la OAP. </t>
    </r>
  </si>
  <si>
    <t>Posibilidad de afectación reputacional por falta de acompañamiento técnico (capacitación, soporte técnico, mejoras) que se brinda a los usuarios sobre el uso correcto de los Sistemas de Información de la DMASC (SICAAC, SICEQ, SICJCC), debido a la insuficiencia de personal  y a la limitada capacidad institucional.</t>
  </si>
  <si>
    <t>Falta de personal para el manejo, uso y soporte de los Sistemas de Información de la DMASC (SICAAC, SICEQ, SICJCC)</t>
  </si>
  <si>
    <t>Desatención a las necesidades de los usuarios externos en cuanto a soporte y capacitación sobre el uso de los sistemas, generando dificultades en los reportes, estadísticas y toma de decisiones informadas</t>
  </si>
  <si>
    <t>El(la) Director(a) de Métodos Alternativos de Solución de Conflictos, de forma permanente asigna una persona que apoye el acompañamiento técnico y administración de los sistemas de información de la dependencia (SICAAC, SICEQ, SICJCC) con el fin de garantizar su operación y el soporte a los usuarios. 
Evidencia: soporte de asignación de la persona de apoyo.
Este control aplica para los grupos de conciliación extrajudicial en derecho, arbitraje y amigable composición; justicia en equidad; y, casas de justicia y convivencia ciudadana.</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</si>
  <si>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mediante el contrato No. 347 se cuenta con un profesional que presta sus servicios en la Dirección de Métodos Alternativos de Solución de Conflictos brindando soporte a los sistemas de información de la dependencia, en lo relacionado con el acompañamiento técnico que se brinda en el registro y parametrización de información, actualización de contenidos, capacitación de usuarios, atención de requerimientos e identificación de mejoras, de esta forma se garantiza su operación y soporte a los usuarios. </t>
    </r>
    <r>
      <rPr>
        <i/>
        <sz val="11"/>
        <rFont val="Calibri"/>
        <family val="2"/>
        <scheme val="minor"/>
      </rPr>
      <t xml:space="preserve">
</t>
    </r>
    <r>
      <rPr>
        <b/>
        <i/>
        <sz val="11"/>
        <rFont val="Calibri"/>
        <family val="2"/>
        <scheme val="minor"/>
      </rPr>
      <t xml:space="preserve">Evidencias: </t>
    </r>
    <r>
      <rPr>
        <i/>
        <sz val="11"/>
        <rFont val="Calibri"/>
        <family val="2"/>
        <scheme val="minor"/>
      </rPr>
      <t xml:space="preserve">contrato No. 347 de 2025, estudios previos, informes de ejecución.
Link de evidencias carpeta denominada R50. Sistemas Información - subcarpeta Control 1 personal de apoyo: </t>
    </r>
    <r>
      <rPr>
        <i/>
        <sz val="11"/>
        <color rgb="FF3366CC"/>
        <rFont val="Calibri"/>
        <family val="2"/>
        <scheme val="minor"/>
      </rPr>
      <t xml:space="preserve">https://minjusticiagovco-my.sharepoint.com/:f:/g/personal/mauricio_ordonez_minjusticia_gov_co/Ek77KHN9aH9KhChFVIzqInoBj2kXA02iLwqD51eZS5joMg?e=JdRz2J
</t>
    </r>
    <r>
      <rPr>
        <i/>
        <sz val="11"/>
        <rFont val="Calibri"/>
        <family val="2"/>
        <scheme val="minor"/>
      </rPr>
      <t xml:space="preserve">
Nota: En este periodo se realizó la revisión y ajuste en su totalidad del mapa de riesgos de gestión a cargo de la DMASC, con la asesoría y acompañamiento de la OAP. </t>
    </r>
  </si>
  <si>
    <r>
      <t>Monitoreo mayo a agosto de 2025</t>
    </r>
    <r>
      <rPr>
        <sz val="11"/>
        <rFont val="Calibri"/>
        <family val="2"/>
      </rPr>
      <t xml:space="preserve">
*</t>
    </r>
    <r>
      <rPr>
        <b/>
        <i/>
        <sz val="11"/>
        <rFont val="Calibri"/>
        <family val="2"/>
      </rPr>
      <t>Revisión de los riesgos DMASC.</t>
    </r>
    <r>
      <rPr>
        <i/>
        <sz val="11"/>
        <rFont val="Calibri"/>
        <family val="2"/>
      </rPr>
      <t xml:space="preserve"> </t>
    </r>
    <r>
      <rPr>
        <sz val="11"/>
        <rFont val="Calibri"/>
        <family val="2"/>
      </rPr>
      <t>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t>
    </r>
    <r>
      <rPr>
        <b/>
        <i/>
        <sz val="11"/>
        <rFont val="Calibri"/>
        <family val="2"/>
      </rPr>
      <t xml:space="preserve">
*Atención de observaciones de la OCI. </t>
    </r>
    <r>
      <rPr>
        <sz val="11"/>
        <rFont val="Calibri"/>
        <family val="2"/>
      </rPr>
      <t>En la revisión realizada, se ajustó una parte del riesgo y  se efectuó nuevamente el análisis de causas y consecuencias. Igualmente, se llevó a cabo la verificación y modificación de los controles establecidos conforme con lo solicitado por la OCI. De la misma forma, teniendo en cuenta la evaluación del tratamiento del riesgo en nivel bajo, con la opción de manejo de asumir el riesgo, se elaboró la respectiva justificación en cumplimiento de los lineamientos establecidos por el Ministerio y el DAFP en materia de riesgos.</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b/>
        <sz val="11"/>
        <color rgb="FF808080"/>
        <rFont val="Calibri"/>
        <family val="2"/>
      </rPr>
      <t xml:space="preserve">
CONTROL 1 PERSONAL SISTEMAS (CUMPLIDO ENE-ABR 2025).</t>
    </r>
    <r>
      <rPr>
        <sz val="11"/>
        <rFont val="Calibri"/>
        <family val="2"/>
      </rPr>
      <t xml:space="preserve"> La ejecución de este control se cumplió con corte a abril de 2025, como se registró en el monitoreo respectivo y en las evidencias aportadas.</t>
    </r>
    <r>
      <rPr>
        <b/>
        <sz val="11"/>
        <color rgb="FF009999"/>
        <rFont val="Calibri"/>
        <family val="2"/>
      </rPr>
      <t xml:space="preserve">
CONTROL 2 ACOMPAÑAMIENTO SISTEMAS (EN EJECUCIÓN)</t>
    </r>
    <r>
      <rPr>
        <sz val="11"/>
        <rFont val="Calibri"/>
        <family val="2"/>
      </rPr>
      <t>. Con corte a agosto de 2025, el personal encargado de los sistemas de la DMASC brindó acompañamiento técnico a los usuarios de los sistemas SICEQ, SICJCC y SICAAC, a través de capacitaciones, soporte técnico, mesas de trabajo, reuniones, etc, para garantizar el correcto funcionamiento y manejo de los aplicativos.</t>
    </r>
    <r>
      <rPr>
        <i/>
        <sz val="11"/>
        <rFont val="Calibri"/>
        <family val="2"/>
      </rPr>
      <t xml:space="preserve">
Evidencias de las capacitaciones, mesas, reuniones y soporte técnico brindado. Link de evidencias carpeta denominada R.Sistemas - subcarpeta C2 Acompañamiento sistemas: </t>
    </r>
    <r>
      <rPr>
        <sz val="11"/>
        <color rgb="FF0000FF"/>
        <rFont val="Calibri"/>
        <family val="2"/>
      </rPr>
      <t>https://minjusticiagovco-my.sharepoint.com/:f:/g/personal/mauricio_ordonez_minjusticia_gov_co/EnMed3YwT3dPvjoFwZFC5-ABVd_l5Szlqf__fVwucGEdJw?e=Ezv2xL</t>
    </r>
  </si>
  <si>
    <t>En el presente seguimiento se evidencia que la dependencia ha continuado con la implementación de los controles establecidos, así como la actualización del impacto en la definición del riesgo.
No obstante, desde la OCI se reitera que los controles actuales presentan debilidades estructurales que limitan su efectividad para mitigar adecuadamente la materialización del riesgo.
Por ello, se recomienda a la dependencia realizar un análisis detallado de los controles vigentes, con el fin de actualizarlos o reformularlos, fortaleciendo así la gestión del riesgo y asegurando una administración más eficaz y alineada con la realidad institucional.</t>
  </si>
  <si>
    <t>Ausencia de conocimiento y experticia en el personal para la administración de los sistemas de información de la DMASC (SICAAC, SICEQ, SICJCC)</t>
  </si>
  <si>
    <t xml:space="preserve">Información incompleta o inexacta por el no registro de información en los sistemas, así como, pérdida de Información sensible almacenada en los sistemas de información debido a fallos técnicos o errores humanos. </t>
  </si>
  <si>
    <t>La persona asignada o personal de apoyo a los sistemas de información de la DMASC (SICAAC, SICEQ, SICJCC), al menos una vez al año, realizan una capacitación y/o socialización sobre las funcionalidades de los aplicativos, con el fin de transferir el conocimiento adquirido; asimismo, se tendrá disponible el material sobre su manejo (videos, presentaciones o manuales de usuario).
Evidencia: soporte de la capacitación y/o socialización y el material de apoyo de los sistemas de información.
Este control aplica para los grupos de conciliación extrajudicial en derecho, arbitraje y amigable composición; justicia en equidad; y, casas de justicia y convivencia ciudadana.</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</si>
  <si>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brindó capacitación e inducción sobre el funcionamiento de los sistemas de información de Casas de Justicia y Convivencia Ciudadana (SICJCC), y Conciliación Extrajudicial en Derecho, Arbitraje y Amigable Composición (SICAAC). Asimismo, se realizó reunión con la Dirección de Tecnología y personal de la dependencia para articularse respecto de los sistemas de información de la dependencia. 
Por otra parte se cuenta con el material disponible de ayuda sobre los sistemas de información de la dependencia.</t>
    </r>
    <r>
      <rPr>
        <i/>
        <sz val="11"/>
        <rFont val="Calibri"/>
        <family val="2"/>
        <scheme val="minor"/>
      </rPr>
      <t xml:space="preserve">
</t>
    </r>
    <r>
      <rPr>
        <b/>
        <i/>
        <sz val="11"/>
        <rFont val="Calibri"/>
        <family val="2"/>
        <scheme val="minor"/>
      </rPr>
      <t xml:space="preserve">Evidencias: </t>
    </r>
    <r>
      <rPr>
        <i/>
        <sz val="11"/>
        <rFont val="Calibri"/>
        <family val="2"/>
        <scheme val="minor"/>
      </rPr>
      <t xml:space="preserve">Soportes de asistencia, material de los sistemas  de información.
Link de evidencias carpeta denominada R50. Sistemas Información - subcarpeta Control 2 Capacitación: </t>
    </r>
    <r>
      <rPr>
        <i/>
        <u/>
        <sz val="11"/>
        <color rgb="FF3366CC"/>
        <rFont val="Calibri"/>
        <family val="2"/>
        <scheme val="minor"/>
      </rPr>
      <t>https://minjusticiagovco-my.sharepoint.com/:f:/g/personal/mauricio_ordonez_minjusticia_gov_co/EpQt7IxMW6REopYDC9pOUAgBdtsq3MQElMc2FPEgK9ebQw?e=Wp44I7</t>
    </r>
    <r>
      <rPr>
        <i/>
        <sz val="11"/>
        <rFont val="Calibri"/>
        <family val="2"/>
        <scheme val="minor"/>
      </rPr>
      <t xml:space="preserve">
Nota: En este periodo se realizó la revisión y ajuste en su totalidad del mapa de riesgos de gestión a cargo de la DMASC, con la asesoría y acompañamiento de la OAP. </t>
    </r>
  </si>
  <si>
    <t>Generar acciones que contribuyan a la implementación de la política pública de drogas y criminal y penitenciaria, de los mecanismos de cooperación jurídica internacional y la justicia transicional con el fin de fortalecer la gestión pública entorno a lucha contra la criminalidad y reincidencia.</t>
  </si>
  <si>
    <t>Posibidad de afectación reputacional por no gestionar la solicitud ante la Comisión Intersectorial para el Estudio de Solicitudes de Repatriación de Presos, debido a la demora injustificada en el estudio de requisitos.</t>
  </si>
  <si>
    <t>8-Liderar la cooperación judicial internacional en materia de justicia y del derecho.​</t>
  </si>
  <si>
    <t>Demora injustificada en el estudio de requisitos de la solicitud.</t>
  </si>
  <si>
    <t>Sobreacumulación de peticiones sobre un caso</t>
  </si>
  <si>
    <t>Rara Vez</t>
  </si>
  <si>
    <t>El coordinador del Grupo de traslado de personas condenadas, previo al estudio del caso por parte de la Comisión Intersectorial para el estudio de repatriación de presos y posterior a la revisión y gestión del profesional designado de este, a fin de verificar que la información y la documentación del expediente se encuentre completa, revisará que la información consignada en la hoja de vida del condenado corresponda con la documentación que conforma el expediente, En caso de que al momento de revisar la hoja de vida del condenado, se identifique que el expediente se encuentra incompleto o que la información este incorrecta, en el primer caso se solicita al profesional encargado del caso para que este gestione la documentación faltante, en el segundo caso se solicitara al profesional las correcciones a las que haya lugar. Evidencia: Estudio del caso por parte de la comisión.
Gestión de la documentación faltante a las autoridades correspondientes por parte del profesional encargado del caso, cuando haya lugar.
Recepción por segunda vez de la hoja de vida con las correcciones por parte del profesional encargado del caso.</t>
  </si>
  <si>
    <t>Ningún riesgo ya que todas las solicitudes de traslado que llegan y se encuentran completos los expedientes se tramitan en la Comisión Intersectorial siguiente, en caso  hipotético que se encuentre completitud del expediente de traslado y no se llegare a tramitar, debería tramitarse de forma inmediata</t>
  </si>
  <si>
    <t>Por demanda</t>
  </si>
  <si>
    <t>cada 3 meses</t>
  </si>
  <si>
    <t>Coordinador Grupo de Traslado de Personas Condenadas</t>
  </si>
  <si>
    <t>Queda debidamente registrado en el acta de la comisión intersectorial, en video o en audio, y  ello queda plasmado en los actos administrativos expedidos por el despacho del señor Ministro, así mismo se debe actualizar la bases de datos de la coordinación de grupo y el aplicativo SIM</t>
  </si>
  <si>
    <t>Se realiza la atención oportuna de los requerimientos de Repatriación, efectuado el seguimiento, lo que permite preparar los estudios de las solicitudes de Repatriación, que deben revisarse por la Comisión Intersectorial para el Estudio de solicitudes con la validación de la documentación completa de los expedientes. En razón a que los controles han sido efectivos, no se ha materializado el riesgo.</t>
  </si>
  <si>
    <t>El enfoque de trabajo de revisión y control demuestra la capacidad del Grupo para gestionar integralmente las solicitudes de repatriación, acompañada de un seguimiento riguroso de cada caso. Este proceso garantiza un análisis técnico y jurídico en cada uno de los expedientes que serán sometidos a revisión por la Comisión Intersectorial de Solicitudes de Repatriación de Presos en la proxima sesión, asegurando un proceso transparente y fundamentado en criterios sólidos, asegurando la calidad en la revisión por parte de dicha Comisión. Gracias a esta metodología, no se han materializado los riesgos asociados al manejo de la información y documentación. 
Se suprimió el plan de tratamiento de los riesgos, debido a que la evaluación del riesgo es bajo.</t>
  </si>
  <si>
    <t>En el presente seguimiento se evidencia que la dependencia ha actualizado la definición del riesgo, así como las causas y controles establecidos para mitigar su posible materialización.
Sin embargo, persiste una debilidad en la formulación de la acción del plan de tratamiento, aspecto que requiere atención para fortalecer la gestión del riesgo.
Adicionalmente, se recomienda a la DAI presentar las evidencias de implementación correspondientes a cada uno de los controles definidos. Aunque algunos controles se ejecutan por demanda, es fundamental que dicha información sea compartida cuando se disponga, ya que resulta clave para evaluar su efectividad.
Se espera que, para el próximo seguimiento, la dependencia aporte al menos una evidencia por cada control y mejore la redacción del monitoreo asociado. Como referencia, podrían incluirse ejemplos de los casos de repatriación gestionados durante el cuatrimestre.</t>
  </si>
  <si>
    <t>No gestionar la solicitud ante la Comisión Intersectorial para Estudio de Solicitudes de Repatriación de Presos.</t>
  </si>
  <si>
    <t>El coordinador del Grupo de traslado de personas condenadas, cada dos meses, a fin de verificar que se este realizando la gestión a la solicitud y determinar en que fase se encuentra, revisará los casos en la base de datos de solicitudes de traslado.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 a este la prioridad de la gestión de la misma. Evidencia: Observaciones por parte del coordinador en la base de datos sobre el caso
Requerimiento al profesional de la justificación, en el caso que se requiera</t>
  </si>
  <si>
    <t>La no comunicación del acto administrativo a las instancias pertinentes para el eventual cumplimiento de la decisión.</t>
  </si>
  <si>
    <t>El coordinador del Grupo de traslado de personas condenadas, revisará periódicamente los casos en la base de datos de solicitudes de traslado, a fin de determinar si se comunicó la firmeza del acto administrativo que decide una solicitud o resuelve un recurso. En caso de que al momento de realizar la verificación se identifique una solicitud que aparece en la base de datos en estado recibida luego de dos meses, pero no aparece ninguna otra actuación se solicitará al profesional encargado del caso la debida justificación del tema y se procederá a informarle la prioridad de la gestión. Evidencia: Registro de observaciones por parte del coordinador en la base de datos sobre el caso:
Requerimiento por correo electrónico al profesional de la justificación, en el caso que se requiera</t>
  </si>
  <si>
    <t>Posibilidad de afectación reputacional por análisis incorrecto de solicitudes de asistencia judicial elevadas por autoridad competente, debido al incumplimiento de requisitos de fondo y forma previstos en el convenio aplicable.</t>
  </si>
  <si>
    <t>Análisis incorrecto de solicitudes de asistencia judicial elevadas por autoridad competente,</t>
  </si>
  <si>
    <t>Afectación al proceso penal de cual se deriva la solicitud de asistencia judicial</t>
  </si>
  <si>
    <t xml:space="preserve">El coordinador del Grupo de Asistencia Judicial en Materia Penal de la Dirección de Asuntos Internacionales, cada vez que se reciba una solicitud de asistencia judicial  y previo al envío de esta a la autoridad central correspondiente, a fin de determinar la viabilidad de la solicitud y  evitar devoluciones o reprocesos por documentación incompleta o inconsistente por parte de la Autoridad Central, revisará el cumplimiento de los requisitos de fondo y forma, previstos en el instrumento internacional aplicable al caso concreto. En caso de que al momento de recibir la solicitud, esta se encuentre sin el lleno de los requisitos, se devuelve a la autoridad judicial requirente con las observaciones del caso. Evidencia: Oficio por parte del Ministerio con las respectivas observaciones en los casos que aplique a la solicitud de la autoridad judicial. </t>
  </si>
  <si>
    <t>El coordinador del Grupo de Asistencia Judicial de la Dirección de Asuntos Internacionales, cada vez que se reciba una solicitud de asistencia judicial en materia penal y previo al envío de esta a la autoridad central correspondiente, a fin de determinar la viabilidad de la solicitud y  evitar devoluciones o reprocesos por documentación incompleta o inconsistente por parte de la Autoridad Central, revisará el cumplimiento de los requisitos de fondo y forma, previstos en el instrumento internacional aplicable al caso concreto. En caso de que al momento de recibir la solicitud, esta se encuentre sin el lleno de los requisitos, se devuelve a la autoridad judicial requirente con las observaciones del caso.</t>
  </si>
  <si>
    <t>N/A</t>
  </si>
  <si>
    <t>Coordinador del Grupo de Asistencia Judicial en Materia Penal</t>
  </si>
  <si>
    <t>Oficios por parte del Ministerio a través de los cuales se devuelven las solicitudes con las respectivas observaciones en orden a que las autoridades judiciales subsanen lo que corresponda en las solicitudes para, finalmente, poder enviarlas a los Estados requeridos para electo.</t>
  </si>
  <si>
    <t>El Grupo de Asistencia Judicial en Materia Penal recibió y analizó las solicitudes de las autoridades judiciales conforme a la normativa vigente. Estas solicitudes se atendieron de forma oportuna y eficiente, aquellas que no cumplieron los requisitos se devolvieron con las observaciones necesarias para su corrección. Efectuada la subsanación, los despachos judiciales las remiten nuevamente y el Ministerio de Justicia y del Derecho las tramita ante la autoridad central del Estado requerido. Los controles rigurosos garantizan la correcta ejecución de los procesos y mitigan cualquier riesgo asociado.</t>
  </si>
  <si>
    <t>Se evidencia que la dependencia ha actualizado la definición del riesgo y sus causas. Sin embargo, no se realizó la correspondiente actualización de los controles, lo cual limita una adecuada administración del riesgo. Es importante recordar que la actualización de la definición del riesgo debe ir acompañada de un nuevo análisis de causas y la formulación de controles específicos que respondan a cada una de las nuevas causas identificadas.
En este sentido, se insta a la dependencia a revisar el control actualmente establecido y a desarrollar controles adicionales que permitan mitigar eficazmente cada una de las causas identificadas.
Asimismo, persiste una debilidad en la formulación de las acciones del plan de tratamiento, ya que estas corresponden al mismo control establecido, lo que limita su efectividad como acción complementaria.
Finalmente, se espera que para el próximo seguimiento la dependencia subsane las debilidades identificadas, mejore la redacción del monitoreo realizado por la DAI y presente evidencias claras que respalden la implementación efectiva de los controles.</t>
  </si>
  <si>
    <t>El incumplimiento de requisitos de fondo y forma previstos en el convenio aplicable.</t>
  </si>
  <si>
    <t>Dilatación en los tiempos previstos por el Despacho Judicial requirente
Investigación disciplinaria por el Ministerio de Justicia y del Derecho
Requerimiento por parte de un ente de control</t>
  </si>
  <si>
    <t>Posibilidad de afectación reputacional por el incumplimiento a los tratados de extradición y/o a la norma interna debido a la falta de gestión y al trámite inadecuado de las solicitudes de extradición pasiva  o activa</t>
  </si>
  <si>
    <t xml:space="preserve">
Demora en la atención de solicitud de extradición activa o  pasiva, Devolución de la documentación soporte de la solicitud de extradición pasiva que se envía a la CSJ</t>
  </si>
  <si>
    <t>La persona designada por el Coordinador del Grupo de Extradiciones, cada vez que se reciba una solicitud de extradición pasiva y previo a su envío a la Corte Suprema de Justicia, verifica que la solicitud se encuentre completa y conforme a la norma o tratado aplicable, revisará la documentación allegada por el Ministerio de Relaciones Exteriores y realiza el oficio remisorio correspondiente. En caso de que al momento de realizar la verificación se identifique una solicitud incompleta, que no cumpla con la normatividad o el tratado o que no es clara, se solicita la respectiva complementación ante el Ministerio de Relaciones Exteriores. Evidencia: Oficio remisorio de la documentación al órgano judicial y oficio de solicitud de complementación ante el Ministerio de Relaciones Exteriores en los casos donde haya lugar, ambos con revisión del Coordinador del Grupo de Extradiciones.</t>
  </si>
  <si>
    <t>Identificar la causa que generó el trámite inadecuado y/o inoportuno e implementar un control adicional a las bases de datos de control de tiempos creadas para evitar que se materialicen los riesgos, que pueden concretarse en una revisión semanal del estado de los trámites y reforzar el conocimiento del procedimiento con capacitaciones a los funcionarios que lo aplican.</t>
  </si>
  <si>
    <t>Coordinadora del Grupo de Extradiciones</t>
  </si>
  <si>
    <t>Soportes documentales de expedientes o oficios de extradiciones de la dependencia.</t>
  </si>
  <si>
    <t>Se efectuó la revisión oportuna  de que las solicitudes de extradición se atiendan oportunamente, que se cumpla los plazos de conformidad con los procedimientos legales. En razón a que los controles han sido efectivos, no se ha materializado el riesgo.</t>
  </si>
  <si>
    <t xml:space="preserve">Se efectuó la revisión oportuna  de las solicitudes de extradición recibidas en la DIrección de Asuntos Internacionales, para que sean atendidas oportunamente, cumpliendo los plazos establecidos de conformidad con los procedimientos legales. En razón a que los controles han sido efectivos, no se ha materializado el riesgo.
Se suprimió el plan de tratamiento de los riesgos, debido a que la evaluación del riesgo es bajo.
 </t>
  </si>
  <si>
    <t>Se evidencia que la dependencia ha realizado la actualización del riesgo y de sus causas. Sin embargo, no se observa una actualización ni formulación de nuevos controles que respondan tanto a las causas ya existentes como a las nuevas causas identificadas.
Se recomienda que, para el próximo seguimiento, la dependencia formule controles específicos que aborden de manera efectiva las nuevas causas detectadas. Asimismo, se sugiere fortalecer la gestión del riesgo mediante la implementación de acciones dentro del plan de tratamiento, que respalden y refuercen la efectividad de los controles establecidos.
Finalmente, se espera que en el próximo seguimiento la dependencia subsane las falencias identificadas, mejore la redacción del monitoreo realizado por la DAI y presente evidencias claras y suficientes que permitan verificar la implementación efectiva de los controles.</t>
  </si>
  <si>
    <t>Demoras en la notificación a las partes interesadas del acto administrativo de extradición pasiva.</t>
  </si>
  <si>
    <t>Requerimiento por parte de un ente de control</t>
  </si>
  <si>
    <t>La persona designada por el Coordinador del Grupo de Extradiciones, cada vez que se reciba una solicitud de extradición activa y previa su remisión al Ministerio de Relaciones Exteriores, verifica que la solicitud se encuentre completa  y conforme a la norma o tratado aplicable, revisa la documentación enviada por la autoridad judicial requirente y realiza el oficio remisorio correspondiente. En caso de que al momento de realizar la verificación, se identifique una solicitud incompleta, que no cumpla con la normatividad o el tratado o que no es clara, se solicita la respectiva complementación a la autoridad judicial requirente. Evidencia: Oficio de remisión de la documentación y oficio de solicitud de complementación a la autoridad judicial requirente, si es del caso, ambos con la revisión del Coordinador del Grupo de Extradiciones.</t>
  </si>
  <si>
    <t>Devolución de Cancillería por errores en la documentación enviada para la solicitud de extradición activa.</t>
  </si>
  <si>
    <t>Enviar a Cancillería de manera incompleta la documentación requerida para la extradición activa al tratado aplicable al caso</t>
  </si>
  <si>
    <t>Formulación y Seguimiento de las Políticas Públicas</t>
  </si>
  <si>
    <t>Definir los criterios, parámetros o lineamientos generales para abordar las prioridades de la agenda pública del sector y de esta manera orientar las decisiones respecto a las necesidades o situaciones de interés público que competen al sector de Justicia y del Derecho, asi como realizar seguimiento a las acciones definidas para su implementación o desarrollo y efectuar los ajustes que se requieran.</t>
  </si>
  <si>
    <t>Posibilidad de afectación reputacional por la inadecuada atención a las necesidades de la población en materia de justicia debido al incumplimiento en la implementación de las políticas públicas del Ministerio de Justicia y del Derecho y el desconocimiento de la metodología para su formulación</t>
  </si>
  <si>
    <t>Inadecuada aplicación de la metodología para la formulación de políticas públicas del Ministerio de Justicia y del Derecho</t>
  </si>
  <si>
    <t>Hallazgo por parte de Entes de Control</t>
  </si>
  <si>
    <t>El funcionario o contratista designado por cada Viceministerio, periódicamente realiza la socialización o envío del procedimiento establecido para la formulación de política, con el fin de fortalecer su conocimiento y garantizar su correcta aplicación por parte del personal del Ministerio de Justicia y del Derecho. 
Evidencia: soporte de la socialización y/o envio del procedimiento
Este riesgo aplica para todas las áreas misionales del Ministerio de Justicia y del Derecho</t>
  </si>
  <si>
    <t>No se generó un plan de tratamiento sobre este riesgo, toda vez que que la evaluación del riesgo generó un resultado moderado; por lo tanto su opción de manejo es asumir o aceptar el riesgo. 
De acuerdo con lo establecido en el numeral 4.5.5 de la Guía de administración de riesgos G-MC-04 (versión 08) y en la Guía del DAFP para la Administración del Riesgo y el diseño de controles en entidades públicas Versión 6, se indica que cuando se acepta el riesgo "no se adopta ninguna medida que afecte la probabilidad e impacto del riesgo", lo cual significa que la entidad asume que el riesgo puede ocurrir y se hace responsable de sus consecuencias. Por tal motivo, y teniendo en cuenta el acompañamiento brindado por la OAP sobre este tema, no es necesario establecer un tratamiento dada la evaluación obtenida y la opción de manejo resultante.
Guías mencionadas: 
https://sii.minjusticia.gov.co/app.php/staff/document/tree/viewPublic?id=4277
https://www1.funcionpublica.gov.co/documents/28587410/34299967/Guia_administracion_riesgos_capitulo_riesgo_fiscal.pdf</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</si>
  <si>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t>
    </r>
    <r>
      <rPr>
        <i/>
        <sz val="11"/>
        <rFont val="Calibri"/>
        <family val="2"/>
        <scheme val="minor"/>
      </rPr>
      <t xml:space="preserve">Con corte a abril de 2025, la Dirección de Métodos Alternativos de Solución de Conflictos realizó una capacitación al personal de la dependencia sobre el procedimiento vigente para la formulación de políticas públicas P-F-01 (V03 de 2020) , el cual aplica para todas las áreas misionales del Ministerio de Justicia y del Derecho. 
</t>
    </r>
    <r>
      <rPr>
        <b/>
        <i/>
        <sz val="11"/>
        <rFont val="Calibri"/>
        <family val="2"/>
        <scheme val="minor"/>
      </rPr>
      <t xml:space="preserve">
Evidencias: </t>
    </r>
    <r>
      <rPr>
        <i/>
        <sz val="11"/>
        <rFont val="Calibri"/>
        <family val="2"/>
        <scheme val="minor"/>
      </rPr>
      <t xml:space="preserve">asistencia, presentación.
Link de evidencias carpeta denominada R14 Formulación de política - subcarpeta Control 1 Capacitación: </t>
    </r>
    <r>
      <rPr>
        <i/>
        <u/>
        <sz val="11"/>
        <color rgb="FF3366CC"/>
        <rFont val="Calibri"/>
        <family val="2"/>
        <scheme val="minor"/>
      </rPr>
      <t>https://minjusticiagovco-my.sharepoint.com/:f:/g/personal/mauricio_ordonez_minjusticia_gov_co/EgpiLWAZcutOmbmgwDEk_NEBtmRA3VZeB1uby2DqjEPqBA?e=jVaK0a</t>
    </r>
  </si>
  <si>
    <r>
      <t>Monitoreo mayo a agosto de 2025</t>
    </r>
    <r>
      <rPr>
        <sz val="11"/>
        <rFont val="Calibri"/>
        <family val="2"/>
      </rPr>
      <t xml:space="preserve">
Es importante mencionar que </t>
    </r>
    <r>
      <rPr>
        <u/>
        <sz val="11"/>
        <rFont val="Calibri"/>
        <family val="2"/>
      </rPr>
      <t>este riesgo es de carácter transversal; por lo tanto, su revisión y seguimiento debe ser realizado por todas las áreas misionales del Ministerio.</t>
    </r>
    <r>
      <rPr>
        <sz val="11"/>
        <rFont val="Calibri"/>
        <family val="2"/>
      </rPr>
      <t xml:space="preserve"> Por tal motivo, la DMASC presenta las observaciones correspondientes como aporte a este proceso, atendiendo las recomendaciones de la OCI. No obstante, es necesario aclarar que la actualización del riesgo, causas, controles y demás elementos no dependen únicamente de la DMASC. Sobre ello, la OAP indico que </t>
    </r>
    <r>
      <rPr>
        <i/>
        <sz val="11"/>
        <rFont val="Calibri"/>
        <family val="2"/>
      </rPr>
      <t>"posteriormente se realizará una reunion con las áreas misionales para actualizar conjuntamente el riesgo".</t>
    </r>
    <r>
      <rPr>
        <b/>
        <sz val="11"/>
        <rFont val="Calibri"/>
        <family val="2"/>
      </rPr>
      <t xml:space="preserve">
*Revisión de los riesgos DMASC.</t>
    </r>
    <r>
      <rPr>
        <sz val="11"/>
        <rFont val="Calibri"/>
        <family val="2"/>
      </rPr>
      <t xml:space="preserve"> 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t>
    </r>
    <r>
      <rPr>
        <b/>
        <sz val="11"/>
        <rFont val="Calibri"/>
        <family val="2"/>
      </rPr>
      <t xml:space="preserve">
*Atención de observaciones de la OCI.</t>
    </r>
    <r>
      <rPr>
        <sz val="11"/>
        <rFont val="Calibri"/>
        <family val="2"/>
      </rPr>
      <t xml:space="preserve"> En la revisión realizada por parte de la DMASC, se ajustó una parte del riesgo y  se efectuó nuevamente el análisis de causas y consecuencias. Igualmente, se llevó a cabo la verificación y modificación de los controles establecidos conforme con lo solicitado por la OCI. De la misma forma, teniendo en cuenta la evaluación del tratamiento del riesgo en nivel bajo, con la opción de manejo de asumir el riesgo, se elaboró la respectiva justificación en cumplimiento de los lineamientos establecidos por el Ministerio y el DAFP en materia de riesgos.</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b/>
        <u/>
        <sz val="11"/>
        <color rgb="FF808080"/>
        <rFont val="Calibri"/>
        <family val="2"/>
      </rPr>
      <t xml:space="preserve">
CONTROL 1 CAPACITACIÓN FP (CUMPLIDO ENE-ABR 2025). </t>
    </r>
    <r>
      <rPr>
        <sz val="11"/>
        <rFont val="Calibri"/>
        <family val="2"/>
      </rPr>
      <t>La ejecución de este control se cumplió con corte a abril de 2025, como se registró en el monitoreo respectivo y en las evidencias aportadas.</t>
    </r>
    <r>
      <rPr>
        <b/>
        <sz val="11"/>
        <rFont val="Calibri"/>
        <family val="2"/>
      </rPr>
      <t xml:space="preserve">
CONTROL 2. ACTUALIZACIÓN PROCEDIMIENTO.</t>
    </r>
    <r>
      <rPr>
        <sz val="11"/>
        <rFont val="Calibri"/>
        <family val="2"/>
      </rPr>
      <t xml:space="preserve"> Con corte a agosto de 2025, no se ha identificado por parte de las áreas misionales del Ministerio, la necesidad de realizar la actualización del procedimiento de formulación de políticas públicas.</t>
    </r>
  </si>
  <si>
    <t>Para el presente seguimiento, se evidencia que la dependencia continúa con la implementación de los controles establecidos.
No obstante, se reitera la recomendación de fortalecer dichos controles, ya que hasta el momento su aplicación ha sido esporádica. Es fundamental que los controles se implementen de manera continua y sistemática, de modo que contribuyan eficazmente a prevenir la materialización del riesgo.
Asimismo, se considera necesario que la dependencia realice un análisis más profundo y actualizado de las causas que podrían dar lugar a la materialización del riesgo. Esto, teniendo en cuenta que tanto el entorno institucional como el contexto del riesgo son dinámicos y pueden afectar significativamente la gestión del mismo.</t>
  </si>
  <si>
    <t>Deficiencias en la formulación de políticas públicas del Ministerio de Justicia y del Derecho frente a las necesidades reales de la población</t>
  </si>
  <si>
    <t>Desconfianza de la ciudadanía en el sistema de justicia y la legitimidad de la entidad</t>
  </si>
  <si>
    <t>Los funcionarios o contratistas de las dependencias misionales del Ministerio de Justicia y del Derecho, cuando se identifiquen inconsistencias o posibilidades de mejora, actualizan el procedimiento de formulación de política pública y lo formalizan en el Sistema Integrado de Gestión, con el fin de fortalecer los lineamientos de formulación de política pública del Ministerio de Justicia y del Derecho. Si no hay elementos que requieran fortalecimiento, se aplicarán los lineamientos vigentes establecidos en el SIG.
Evidencia: soportes de la actiualización y formalización en el SIG del procedimiento de formulación de política.
Este riesgo aplica para todas las áreas misionales del Ministerio de Justicia y del Derecho</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</si>
  <si>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se ha identificado por parte de las áreas misionales del Ministerio, la necesidad de realizar la actualización del procedimiento de formulación de políticas públicas.</t>
    </r>
  </si>
  <si>
    <t>Formulación normativa que no satisfaga las necesidades de la población,  debido a la generación de proyectos normativos con vicios de nulidad, que no cumplan con el ordenamiento jurídico vigente  y/o con las metodologías y lineamientos existentes para la producción normativa,  existente debido a un desconocimiento del marco legal existente.</t>
  </si>
  <si>
    <t>Inadecuada aplicación del ordenamiento jurídico para la producción de los proyectos de actos normativos  y con las metodologías y lineamientos existentes para la producción normativa.</t>
  </si>
  <si>
    <t>Reprocesos y elaboración de proyectos normativos con inconsistencias jurídicas o vacíos legales.</t>
  </si>
  <si>
    <t>El funcionario o contratista designado por la Dirección Jurídica periódicamente realiza la socialización o envío del procedimiento establecido para la formulación de proyectos normativos, con el fin de fortalecer su conocimiento y garantizar su correcta aplicación por parte del personal del Ministerio de Justicia y del Derecho. 
Evidencia: soporte de la socialización y/o envio del procedimiento
Este riesgo aplica para todas las áreas misionales del Ministerio de Justicia y del Derecho</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</si>
  <si>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la Dirección de Métodos Alternativos de Solución de Conflictos realizó una capacitación al personal de la dependencia sobre el procedimiento vigente para la formulación de normativa de carácter general (P-DN-01, versión 04 de 2024), el cual aplica para todas las áreas misionales del Ministerio de Justicia y del Derecho. El acta, la presentación y el video se envío a todo el equipo de trabajo de la DMASC. 
</t>
    </r>
    <r>
      <rPr>
        <i/>
        <sz val="11"/>
        <rFont val="Calibri"/>
        <family val="2"/>
        <scheme val="minor"/>
      </rPr>
      <t xml:space="preserve">
</t>
    </r>
    <r>
      <rPr>
        <b/>
        <i/>
        <sz val="11"/>
        <rFont val="Calibri"/>
        <family val="2"/>
        <scheme val="minor"/>
      </rPr>
      <t xml:space="preserve">Evidencias: </t>
    </r>
    <r>
      <rPr>
        <i/>
        <sz val="11"/>
        <rFont val="Calibri"/>
        <family val="2"/>
        <scheme val="minor"/>
      </rPr>
      <t xml:space="preserve">acta, presentación, envío del acta.
Link de evidencias carpeta denominada R17 Formulación Proy. Normativos - subcarpeta Control 1 Capacitación: </t>
    </r>
    <r>
      <rPr>
        <i/>
        <u/>
        <sz val="11"/>
        <color rgb="FF3366CC"/>
        <rFont val="Calibri"/>
        <family val="2"/>
        <scheme val="minor"/>
      </rPr>
      <t>https://minjusticiagovco-my.sharepoint.com/:f:/g/personal/mauricio_ordonez_minjusticia_gov_co/EuSlvYHwcWFPvtfzcHokgA8B2lTBNm-kdXfqawiZnJo44Q?e=a8vcEN</t>
    </r>
  </si>
  <si>
    <r>
      <t>Monitoreo mayo a agosto de 2025</t>
    </r>
    <r>
      <rPr>
        <sz val="11"/>
        <rFont val="Calibri"/>
        <family val="2"/>
      </rPr>
      <t xml:space="preserve">
Es importante mencionar que</t>
    </r>
    <r>
      <rPr>
        <u/>
        <sz val="11"/>
        <rFont val="Calibri"/>
        <family val="2"/>
      </rPr>
      <t xml:space="preserve"> este riesgo es de carácter transversal; por lo tanto, su revisión y seguimiento debe ser realizado por todas las áreas misionales del Ministerio</t>
    </r>
    <r>
      <rPr>
        <sz val="11"/>
        <rFont val="Calibri"/>
        <family val="2"/>
      </rPr>
      <t>. Por tal motivo, la DMASC presenta las observaciones correspondientes como aporte a este proceso, atendiendo las recomendaciones de la OCI. No obstante, es necesario aclarar que la actualización del riesgo, causas, controles y demás elementos no dependen únicamente de la DMASC. Sobre ello, la OAP indico que</t>
    </r>
    <r>
      <rPr>
        <i/>
        <sz val="11"/>
        <rFont val="Calibri"/>
        <family val="2"/>
      </rPr>
      <t xml:space="preserve"> "posteriormente se realizará una reunion con las áreas misionales para actualizar conjuntamente el riesgo".</t>
    </r>
    <r>
      <rPr>
        <b/>
        <sz val="11"/>
        <rFont val="Calibri"/>
        <family val="2"/>
      </rPr>
      <t xml:space="preserve">
*Revisión de los riesgos DMASC. </t>
    </r>
    <r>
      <rPr>
        <sz val="11"/>
        <rFont val="Calibri"/>
        <family val="2"/>
      </rPr>
      <t>La Dirección de MASC efectuó las siguientes actividades:
1. Participación en la sesión de retroalimentación realizada por la OAP el 11 de agosto de 2025, sobre el tema de riesgos.
2. Asistencia a la primera sesión llevada a cabo el 26 de agosto de 2025 con la OAP, en la cual se recibió acompañamiento para efectuar la revisión de los riesgos de la DMASC, atendiendo las observaciones de la OCI. Se enviaron los archivos revisados para el visto bueno de la OAP.
3. Asistencia a la segunda sesión llevada a cabo el 29 de agosto de 2025 con la OAP, en la cual se recibió acompañamiento y la validación de las observaciones efectuadas por esa oficina sobre los riesgos de la DMASC.</t>
    </r>
    <r>
      <rPr>
        <b/>
        <sz val="11"/>
        <rFont val="Calibri"/>
        <family val="2"/>
      </rPr>
      <t xml:space="preserve">
*Atención de observaciones de la OCI.</t>
    </r>
    <r>
      <rPr>
        <sz val="11"/>
        <rFont val="Calibri"/>
        <family val="2"/>
      </rPr>
      <t xml:space="preserve"> En la revisión realizada por parte de la DMASC, se ajustó el tipo y definición del proceso, una parte del riesgo y  se efectuó nuevamente el análisis de causas y consecuencias. Igualmente, se llevó a cabo la verificación y modificación de los controles establecidos conforme con lo solicitado por la OCI. De la misma forma, teniendo en cuenta la evaluación del tratamiento del riesgo en nivel bajo, con la opción de manejo de asumir el riesgo, se elaboró la respectiva justificación en cumplimiento de los lineamientos establecidos por el Ministerio y el DAFP en materia de riesgos.  Frente a la recomendación de racionalización de este riesgo, no se considera viable toda vez que es el único riesgo formulado por las áreas misionales asociado al proceso de formulación y seguimiento de proyectos normativos.</t>
    </r>
    <r>
      <rPr>
        <i/>
        <sz val="11"/>
        <rFont val="Calibri"/>
        <family val="2"/>
      </rPr>
      <t xml:space="preserve">
Evidencias: Carpeta denominada Revisión riesgos, que contiene para todos los riesgos el soporte de la asistencia a las sesiones mencionadas y el envío de los mapas de riesgo para la revisión de la OAP. Con este monitoreo se envían los mapas revisados y los ajustados.  Enlace de la carpeta:  </t>
    </r>
    <r>
      <rPr>
        <i/>
        <sz val="11"/>
        <color rgb="FF0000FF"/>
        <rFont val="Calibri"/>
        <family val="2"/>
      </rPr>
      <t>https://minjusticiagovco-my.sharepoint.com/:f:/g/personal/mauricio_ordonez_minjusticia_gov_co/EvvvpVP6sYxMhNMJidA04swBMkTtmujDVKXu9aFktQu38Q</t>
    </r>
    <r>
      <rPr>
        <i/>
        <u/>
        <sz val="11"/>
        <rFont val="Calibri"/>
        <family val="2"/>
      </rPr>
      <t xml:space="preserve">
No se materializó el riesgo, los controles aplicados han sido efectivos</t>
    </r>
    <r>
      <rPr>
        <b/>
        <sz val="11"/>
        <color rgb="FF808080"/>
        <rFont val="Calibri"/>
        <family val="2"/>
      </rPr>
      <t xml:space="preserve">
CONTROL 1 CAPACITACIÓN PN (CUMPLIDO ENE-ABR 2025).</t>
    </r>
    <r>
      <rPr>
        <sz val="11"/>
        <rFont val="Calibri"/>
        <family val="2"/>
      </rPr>
      <t xml:space="preserve"> La ejecución de este control se cumplió con corte a abril de 2025, como se registró en el monitoreo respectivo y en las evidencias aportadas.</t>
    </r>
    <r>
      <rPr>
        <b/>
        <sz val="11"/>
        <rFont val="Calibri"/>
        <family val="2"/>
      </rPr>
      <t xml:space="preserve">
CONTROL 2. ACTUALIZACIÓN PROCEDIMIENTO.</t>
    </r>
    <r>
      <rPr>
        <sz val="11"/>
        <rFont val="Calibri"/>
        <family val="2"/>
      </rPr>
      <t xml:space="preserve"> Con corte a abril de 2025, no ha surgido la necesidad por parte de las áreas misionales del Ministerio, realizar la actualización del procedimiento de formulación de normativa de carácter general. Fue actualizado en marzo de 2024.</t>
    </r>
  </si>
  <si>
    <t>Para el presente seguimiento se evidencia que la dependencia continúa con la implementación de los controles establecidos.
Sin embargo, se reitera la recomendación de fortalecer dichos controles, ya que su aplicación ha sido esporádica. Es fundamental que los controles se conviertan en metodologías de aplicación constante, que permitan prevenir de manera efectiva la materialización del riesgo.
Asimismo, es necesario que la dependencia realice un análisis exhaustivo y periódico de las causas que pueden originar el riesgo, considerando que tanto el entorno institucional como el contexto del riesgo son variables que cambian e influyen directamente en su administración.
Finalmente, se recomienda a la dependencia revisar su matriz de riesgos y considerar la posibilidad de racionalizarla, en caso de identificar oportunidades de mejora en su estructura o contenido.</t>
  </si>
  <si>
    <t>Acceso insuficiente o información legal desactualizada que dificulta la adecuada formulación de proyectos normativos</t>
  </si>
  <si>
    <t xml:space="preserve">Reprocesos derivados de la corrección de errores identificados en los proyectos normativos </t>
  </si>
  <si>
    <t>Los funcionarios o contratistas de las dependencias misionales del Ministerio de Justicia y del Derecho, cuando se identifiquen inconsistencias o posibilidades de mejora, actualizan el procedimiento de formulación de política pública y lo formalizan en el Sistema Integrado de Gestión, con el fin de fortalecer los lineamientos de formulación de proyectos normativos del Ministerio de Justicia y del Derecho. Si no hay elementos que requieran fortalecimiento, se aplicarán los lineamientos vigentes establecidos en el SIG.
Evidencia: soportes de la actiualización y formalización en el SIG del procedimiento de formulación de normativa de caracter general.
Este riesgo aplica para todas las áreas misionales del Ministerio de Justicia y del Derecho</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</si>
  <si>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ha surgido la necesidad por parte de las áreas misionales del Ministerio, realizar la actualización del procedimiento de formulación de normativa de carácter general. Fue actualizado en marzo de 2024.
</t>
    </r>
  </si>
  <si>
    <t>Generar acciones que contribuyan a la implementación de la política pública de drogas, criminal y penitenciaria, de los
mecanismos de cooperación juridica internacional y la justicia transicional con el fin de fortalecer la gestión publica entorno a lucha contra la criminalidad y
reincidencia</t>
  </si>
  <si>
    <t xml:space="preserve">
Posibilidad de afectación reputacional y económica al presentar errores en el proceso de expedición del Certificado de Carencia de Informes por Tráfico de Estupefacientes y posibles utilizaciones indebidas o desvios a la industria ílicita por autorizaciones erroneas, al no cumplir los requisitos normativos para su expedición</t>
  </si>
  <si>
    <t xml:space="preserve">Errores en la expedición del CCITE debido a la  inadecuada revisión de la documentación en la etapa del trámite, producto de la elevada demanda y volumen de solicitudes. 
</t>
  </si>
  <si>
    <t>Pérdida de Imagen Institucional</t>
  </si>
  <si>
    <t>Los funcionarios y/o contratistas asignados por la Subdirección de Control y Fiscalización de Sustancias Químicas y Estupefacientes – Grupo Control de Sustancias Químicas deberán realizar una validación inicial integral (jurídica y técnica) de la documentación presentada por los usuarios para la expedición del CCITE, utilizando el sistema SICOQ. Posteriormente, se realizará una segunda revisión mediante la cual otro profesional del grupo, distinto al que revisó el trámite, verificará la consistencia y cumplimiento de los requisitos documentales y normativos antes de la validación del profesional encargado de expedir el CCITE. En caso de identificar inconsistencias, el revisor par devolverá el trámite al profesional responsable para su revisión y corrección. 
Como evidencia queda: 
Trazabilidad en SICOQ en donde se evidencie la revisión par. 
 El profesional encargado del Grupo de Control de Sustancias Químicas llevará a cabo una última revisión de verificación y conformidad, previo a emitir una decisión definitiva al usuario de modo que se garantice el cumplimiento del marco normativo vigente. En caso de identificar inconsistencias, el profesional encargado de la expedición devolverá el trámite al responsable para su revisión, ajuste y subsanación, dejando trazabilidad en el sistema.
Como evidencia queda: 
Trazabilidad en SICOQ donde se evidencie la revisión del profesional encargado de expedir el CCITE.
Correos de devolución</t>
  </si>
  <si>
    <t>Realizar revisiones trimestrales a través de la selección de una muestra aleatoria de trámites en donde se pueda constatar la efectividad de los controles implementados e identificar mejoras en la expedición de los CCITE.</t>
  </si>
  <si>
    <t>Subdirección de Control y Fiscalización de Sustancias Químicas y Estuperfacientes - Grupo de Sustancias y Productos Químicos Controlado</t>
  </si>
  <si>
    <t xml:space="preserve">
Listas de asistencias.
Base de datos con la muestra seleccionada y las observaciones de cada trámite. </t>
  </si>
  <si>
    <t>Durante la vigencia del I Cuatrimestre de 2025, el riesgo no se ha materializado y el control ha sido efectivo. Se realizaron las siguientes actividades, con la finalidad de mitigar el riesgo.
Control:Los profesionales del Grupo de Control de Sustancias Químicas, adscritos a la Subdirección de Control y Fiscalización de Sustancias Químicas y Estupefacientes, realizaron la validación jurídica y técnica de las solicitudes, en cumplimiento del marco normativo vigente (Decreto 08585 de 2018).
En los casos que presentaron inconsistencias o información incompleta, se generaron requerimientos que fueron notificados automáticamente a los usuarios a través del correo electrónico autorizado, utilizando el Sistema de Información para el Control de Sustancias y Productos Químicos – SICOQ, a los solicitantes que no cumplieron con los requisitos iniciales de la solictud.
Adicionalmente, se tomó una muestra aleatoria de los diferentes requerimientos y de la trazabilidad registrada en el sistema SICOQ.
Acción plan de tratamiento: Luego de realizar el estudio de los trámites asignados para la expedición de Certificado de Carencia de Informes por Tráfico de Estupefacientes - CCITE; si se detectan errores durante la revision del trámite se procede a devolver el trámite para que sea asignado al abogado encargado para que subsane mediante mesa de trabajo lo que haga falta para dar impulso a la solicitud, esto en virtud de actividades de mejoramiento de los procedimientos administrativos. Se tomo una muestra aleatoria de las actas de las mesas de trabajo.</t>
  </si>
  <si>
    <t>Durante el período objeto del reporte, el riesgo no se ha materializado y el control ha sido efectivo. Lo anterior, teniendo en cuenta que se continúa llevando a cabo las acciones preventivas definidas para mitigar la materialización. De este modo, se presenta el siguiente avance para el segundo cuatrimestre: 
CONTROL: 
Durante la vigencia a reportar los profesionales del Grupo de Control de Sustancias Químicas, adscritos a la Subdirección de Control y Fiscalización de Sustancias Químicas y Estupefacientes, realizaron la verificación jurídica y técnica de la documentación presentada para la expedición del CCITE, en cumplimiento del marco normativo vigente (Decreto 08585 de 2018).
Se confirma que el proceso de revisión PAR se realiza conforme a lo establecido. Un segundo profesional, distinto al que efectuó la revisión inicial del trámite, lleva a cabo una verificación antes de la validación final del CCITE.
Una vez surtida la etapa de revisión par dentro de la gestión de cada trámite de Certificados de Carencia, el trámite cuenta con un último filtro de revisión y aprobación en el cual el profesional con rol de expedición realiza un revisión general tanto de fondo como de forma. En está etapa también se presentan las devoluciones que este considere necesarias de acuerdo con el análisis de la documentación aportada. 
Como evidencia queda: 
Carpeta que contiene muestra de los correos de devolución enviados por el profesional con rol de expedición. 
Carpeta que contiene muestra de trámites de SICOQ en donde se puede ver mediante la trazabilidad la revisión del profesional que expide. 
PLAN DE TRATAMIENTO:
Atendiendo a las observaciones realizadas por la Oficina de Control Interno, la acción correspondiente al plan de tratamiento fue actualizada. Teniendo en cuenta lo anterior, durante el período a reportar, no se presentan evidencias, dado que la actividad se alineó con el Plan de Mejoramiento a cargo de la SCFSQyE producto de la auditoria interna realizada. Conforme a los entregables establecidos en dicho plan, la información será reportada en el siguiente seguimiento.</t>
  </si>
  <si>
    <t>Se evidencia que la dependencia continúa con la implementación del control establecido.
Si bien en su monitoreo se reporta que el riesgo no se ha materializado; la administración del mismo, así como la identificación de sus causas, presentan debilidades, tal como fue señalado por la OCI en el último seguimiento de la vigencia 2024.
Es fundamental que la dependencia realice un nuevo análisis de causas e implemente controles adicionales acompañados de acciones de mejora que contribuyan a mitigar la posible materialización del riesgo. Esto cobra aún mayor relevancia considerando que el entorno interno y externo ha cambiado debido a la nueva forma de expedición del certificado, lo cual podría generar nuevas causas de riesgo.
Adicionalmente, se recomienda validar y actualizar la matriz de riesgos, teniendo en cuenta los cambios en el proceso mencionados. Se insta a la dependencia a realizar un seguimiento constante tanto del riesgo como de sus causas, para garantizar una administración adecuada y oportuna.</t>
  </si>
  <si>
    <t xml:space="preserve">Posibilidad de perdida de recursos económicos por la disminución de ingresos que afectan la operatividad de las actividades misionales debido a la falta de una gestión oportuna y eficiente de los cobros asociados a licencias otorgadas en la modalidad de cuotas y/o por fallas en el sistema de información. </t>
  </si>
  <si>
    <t xml:space="preserve">Causa 1: Inconsistencias o errores en la información reportada por el Mecanismo de Información para el Control de Cannabis - MICC.. </t>
  </si>
  <si>
    <t>Errores en la gestión de cobro a los licenciatarios.</t>
  </si>
  <si>
    <t>Los profesionales del equipo de Sistemas del Grupo de Cannabis, llevarán a cabo los desarrollos identificados por el equipo Financiero de la SCFSQyE con el propósito de realizar e implementar las mejoras dentro del aplicativo MICC a fin disminuir las posibilidades de generación de inconsistencias en el aplicativo.
Como evidencia queda: 
Informe trimestral de mejoras MICC</t>
  </si>
  <si>
    <t>El equipo financiero en el desarrollo de sus funciones, cada vez que identifique errores frente al modulo de novedades (MICC), informará al equipo de soporte y desarrollo de la SCFSQ&amp;E a través de la herramienta de soporte sobre la falla que se presenta indicando de manera clara y concisa el ajuste que se debe realizar en la plataforma. 
Como evidencia queda: 
Requerimientos al grupo de soporte MICC.</t>
  </si>
  <si>
    <t>Permanente</t>
  </si>
  <si>
    <t>Subdirección de Control y Fiscalización de Sustancias Químicas y Estuperfacientes - Grupo de Sustancias y Productos Químicos Controlados</t>
  </si>
  <si>
    <t>Soporte que evidencie la conciliación mensual realizada por el centralizador, el líder jurídico y el líder financiero.</t>
  </si>
  <si>
    <r>
      <rPr>
        <sz val="10"/>
        <color rgb="FF000000"/>
        <rFont val="Arial"/>
      </rPr>
      <t xml:space="preserve">Durante el primer cuatrimestre de 2025, el riesgo no se ha materializado y el control ha sido efectivo. Lo anterior, dado que se ha llevado a cabo la ejecución de las acciones para mitigar la comisión del riesgo de la siguiente manera: 
</t>
    </r>
    <r>
      <rPr>
        <b/>
        <sz val="10"/>
        <color rgb="FF000000"/>
        <rFont val="Arial"/>
      </rPr>
      <t xml:space="preserve">CONTROL: 
</t>
    </r>
    <r>
      <rPr>
        <sz val="10"/>
        <color rgb="FF000000"/>
        <rFont val="Arial"/>
      </rPr>
      <t xml:space="preserve">Una vez actualizada la circular No. MJD-CIR24-0000061-GCCAN-30321, titulada “Tarifas para los trámites de competencia del Ministerio de Justicia y del Derecho de licencias relacionadas con el acceso seguro e informado al cannabis y la planta de cannabis en el año 2025”, se llevó a cabo la ejecución de pruebas sobre la parametrización realizada en la plataforma MICC, con el fin de verificar que las tarifas vigentes conforme a la normativa, estuvieran correctamente actualizadas en la plataforma MICC. Como resultado, se generó un informe que incluye:
1.prueba liquidación cuota UVB año 2025 
2.prueba liquidación cuota SMDLV año 2025
3.prueba liquidación cuota UVT año 2025
4.prueba liquidación de solicitud de licencia primera vez vigencia 2025
Tras la ejecución de las pruebas en la plataforma MICC, se verificó que la actualización de las tarifas para el año 2025 se realizó de manera correcta, garantizando así el cumplimiento de la normativa vigente y correcto funcionamiento en la plataforma. 
</t>
    </r>
    <r>
      <rPr>
        <b/>
        <sz val="10"/>
        <color rgb="FF000000"/>
        <rFont val="Arial"/>
      </rPr>
      <t xml:space="preserve">
</t>
    </r>
    <r>
      <rPr>
        <sz val="10"/>
        <color rgb="FF000000"/>
        <rFont val="Arial"/>
      </rPr>
      <t xml:space="preserve">Por otro lado, en enero de 2025 el equipo financiero de la Subdirección llevó a cabo la actualización de las cuotas de seguimiento causadas para el 2025 y las proyectadas conforme a la variación de la tarifas UVT, UVB o SMDLV que corresponde a la vigencia 2025. Lo anterior se soporta en los reportes de cuentas por cobrar, que se remiten mes a mes al Grupo de Gestión Financiera y Contable del MJD, con la respectiva conciliación.
</t>
    </r>
    <r>
      <rPr>
        <b/>
        <sz val="10"/>
        <color rgb="FF000000"/>
        <rFont val="Arial"/>
      </rPr>
      <t xml:space="preserve">Nota: </t>
    </r>
    <r>
      <rPr>
        <sz val="10"/>
        <color rgb="FF000000"/>
        <rFont val="Arial"/>
      </rPr>
      <t>Teniendo en cuenta el correo recibido por parte del enlace del Grupo Financiero y Contable el 13 de marzo en donde se informa a la Subdirección de Control y Fiscalización de Sustancias Químicas y Estupefacientes que la  elaboración y envío el formato de conciliación está sujeta a las fechas de cierre contable mensual del SIIF Nación, establecidas por la Contaduría General de la Nación, la conciliación correspondiente al mes de marzo firmada se adjuntará en el próximo seguimiento.</t>
    </r>
    <r>
      <rPr>
        <b/>
        <i/>
        <sz val="10"/>
        <color rgb="FF000000"/>
        <rFont val="Arial"/>
      </rPr>
      <t xml:space="preserve"> 
</t>
    </r>
    <r>
      <rPr>
        <b/>
        <sz val="10"/>
        <color rgb="FF000000"/>
        <rFont val="Arial"/>
      </rPr>
      <t xml:space="preserve">Como evidencia queda: 
</t>
    </r>
    <r>
      <rPr>
        <sz val="10"/>
        <color rgb="FF000000"/>
        <rFont val="Arial"/>
      </rPr>
      <t xml:space="preserve">-Conciliación firmada cuentas por cobrar - enero 2025.
-Conciliación firmada cuentas por cobrar - febrero de 2025. 
-Correo Grupo de Gestión Financiera y Contable sobre plazos para la generación de la conciliación de marzo.
-Informe con pruebas de parametrización. 
-MJD-CIR24-0000061 Tarifas Cannabis 2025
</t>
    </r>
    <r>
      <rPr>
        <b/>
        <i/>
        <sz val="10"/>
        <color rgb="FF000000"/>
        <rFont val="Arial"/>
      </rPr>
      <t xml:space="preserve">
</t>
    </r>
    <r>
      <rPr>
        <b/>
        <sz val="10"/>
        <color rgb="FF000000"/>
        <rFont val="Arial"/>
      </rPr>
      <t xml:space="preserve">PLAN DE TRATAMIENTO: 
</t>
    </r>
    <r>
      <rPr>
        <sz val="10"/>
        <color rgb="FF000000"/>
        <rFont val="Arial"/>
      </rPr>
      <t xml:space="preserve">Durante el primer cuatrimestre de 2025, se llevaron a cabo las reuniones de conciliación entre centralizador, el líder jurídico y el líder financiero. Estas reuniones tienen por objetivo "Realizar la conciliación y el seguimiento a las Licencias De Cultivo De Plantas De Cannabis y Licencias De Uso De Semillas Para Siembra, otorgadas por la Subdirección entre el Grupo Jurídico, Centralizador y el Grupo Financiero".
Luego de la realización de las reuniones se ha concluido que los tres grupos de la Subdirección poseen la misma cantidad de licencias con corte al 30 de marzo de la actual vigencia, sumando un total de 2.518 licencias otorgadas y ejecutoriadas y 5 renovadas.
Es importante mencionar que durante el mes de enero y febrero de 2025, la dependencia atravesaba por una contigencia contractual, razón por la cual se documentó y suscribió el acta de reunión hasta el 10 de febrero de 2025 a fin de dejar soporte y evidencia de los insumos utilizados para la conformación del Reporte de Cuentas por Cobrar de diciembre de 2024 remitido al Grupo de Gestión Financiera y Contable del MJD.
</t>
    </r>
    <r>
      <rPr>
        <b/>
        <i/>
        <sz val="10"/>
        <color rgb="FF000000"/>
        <rFont val="Arial"/>
      </rPr>
      <t xml:space="preserve">Nota: </t>
    </r>
    <r>
      <rPr>
        <sz val="10"/>
        <color rgb="FF000000"/>
        <rFont val="Arial"/>
      </rPr>
      <t xml:space="preserve">Teniendo en cuenta la fecha de solicitud del presente reporte, la conciliación correspondiente al mes de abril de 2025 se cargará en el próximo seguimiento. </t>
    </r>
  </si>
  <si>
    <t xml:space="preserve">
CONTROL: 
Durante el período objeto del reporte, se presentan los siguientes avances sobre las mejoras y desarrollos realizadas al Mecanismo de Información para el Control del Cannabis - MICC: 
1. Corrección tarea automática para el vencimiento de licencias 
Se aplicaron correcciones a la tarea automática para el vencimiento de licencias, se reportaron algunos errores por parte de los usuarios del sistema que permitieron identificar algunas licencias que no se encontraban vencidas y que luego de las correcciones aplicadas se abarcaron escenarios faltantes.
2. Se realizó una corrección al sistema para la actualización en cascada del estado de la licencia al momento de quedar una extensión en firme, esto también corresponde a errores reportados por usuarios del sistema que permitieron detectar la falla. 
3. Mejora al procedimiento para el vencimiento de licencias en el cual se implementó un log de seguimiento que permite identificar fallas en el proceso de vencimiento. 
4. Implementación Resolución tarifaría:  Por parte de fábrica de software se avanzó en la implementación de las dos primeras historias de usuario las cuales eran prioritarias para la salida en producción de la resolución tarifaria, lo anterior debido a que contienen las mejoras que permitirán liquidar a través del MICC los pagos de cuotas de seguimiento de extensiones de licencia vencidas y próximas a vencer, que, según el marco normativo, deben ser canceladas dentro de los primeros 6 meses contados a partir de la entrada en vigencia de dicha resolución. 
Como evidencia queda: Informe de mejoras MICC
PLAN DE TRATAMIENTO: 
El equipo financiero reportó oportunamente al equipo de sistemas sobre las inconsistencias que se identificaron o presentaron al momento de realizar el análisis y cargue de los soportes de pago correspondientes a los servicios de evaluación y seguimiento en el modulo de novedades en el aplicativo MICC.
Así las cosas, durante el período objeto de este reporte, se registraron un total de 419 casos, de los cuales 410 se resolvieron por parte del equipo de sistemas de manera oportuna, 7 fueron anulados y 2 devueltos. 
Como evidencia queda: 
1. Base con los registro de novedades realizadas 2do cuatrimestre.</t>
  </si>
  <si>
    <t>Se evidencia que la dependencia continúa con la implementación de los controles establecidos.
No obstante, la OCI reitera en el presente seguimiento la necesidad de que la dependencia realice un nuevo análisis de causas o implemente controles adicionales que permitan abordar de manera efectiva la causa raíz del riesgo, ya que, con los controles actuales, no se evidencia con claridad cómo se está mitigando dicho origen.
Adicionalmente, a través de las evidencias presentadas, se observa que la liquidación de las cuotas de las licencias se está llevando a cabo mediante el aplicativo MICC, lo cual representa un cambio en el entorno del riesgo. Este cambio implica la necesidad de actualizar la definición del riesgo, así como sus causas y los controles que respondan adecuadamente a la nueva realidad, con el fin de contribuir efectivamente a la mitigación de su posible materialización.
Se insta a la dependencia a realizar este análisis y proceder con la correspondiente actualización en la administración del riesgo, entendiendo que esta debe mantenerse dinámica y ajustarse constantemente a los cambios del entorno.</t>
  </si>
  <si>
    <t>Causa 2: Falta de oportunidad en la gestión del cobro a aquellos licenciatarios que se encuentran en mora.</t>
  </si>
  <si>
    <t xml:space="preserve">Reducción de los recursos económicos destinados para el funcionamiento de la misionalidad de la Subdirección de Control y Fiscalización de Sustancias Químicas y Estupefacientes, respecto al seguimiento y control aplicable a las licencias de cannabis.
Prescripción de la oportunidad para ejercer las acciones de cobro por parte del Ministerio de Justicia y del Derecho. </t>
  </si>
  <si>
    <t>Se realizará conciliación entre el centralizador, líder jurídico y líder financiero para el cruce de licencias otorgadas en el mes inmediatamente anterior, con el propósito de alinearse la información que se reporta a través del formato de cuentas por cobrar  para evitar subestimar o sobrestimar las cuentas. 
Como evidencia queda: Acta de reunión con los respectivos anexos</t>
  </si>
  <si>
    <t>Evidencias de las mejoras realizadas en el aplicativo MICC.</t>
  </si>
  <si>
    <r>
      <rPr>
        <sz val="10"/>
        <color rgb="FF000000"/>
        <rFont val="Arial"/>
      </rPr>
      <t xml:space="preserve">Durante el primer cuatrimestre de 2025, el riesgo no se ha materializado y el control ha sido efectivo. Lo anterior, dado que se ha llevado a cabo la ejecución de las acciones para mitigar la comisión del riesgo de la siguiente manera: 
</t>
    </r>
    <r>
      <rPr>
        <b/>
        <sz val="10"/>
        <color rgb="FF000000"/>
        <rFont val="Arial"/>
      </rPr>
      <t>CONTROL:</t>
    </r>
    <r>
      <rPr>
        <sz val="10"/>
        <color rgb="FF000000"/>
        <rFont val="Arial"/>
      </rPr>
      <t xml:space="preserve"> 
Los servidores y/o contratistas del Equipo Financiero, al momento de realizar el análisis y cargue de los soportes de pago correspondientes a los servicios de evaluación y seguimiento en el MICC, comunican al equipo de Sistemas de la Subdirección las inconsistencias identificadas y que estén relacionadas con el módulo de novedades de la plataforma MICC para que se realicen las correcciones necesarias y se asegure la consistencia de los datos.
Como evidencia queda: 
Matriz excel que contiene el listado de novedades financieras
</t>
    </r>
    <r>
      <rPr>
        <b/>
        <sz val="10"/>
        <color rgb="FF000000"/>
        <rFont val="Arial"/>
      </rPr>
      <t xml:space="preserve">PLAN DE TRATAMIENTO: 
</t>
    </r>
    <r>
      <rPr>
        <sz val="10"/>
        <color rgb="FF000000"/>
        <rFont val="Arial"/>
      </rPr>
      <t xml:space="preserve">
Durante el primer cuatrimestre, se presentan los siguientes avances sobre las mejoras y desarrollos realizadas al Mecanismo de Información para el Control del Cannabis - MICC: 
1. Corrección tarea automática para el vencimiento de licencias 
Se aplicaron correcciones a la tarea automática para el vencimiento de licencias, se reportaron algunos errores por parte de los usuarios del sistema que permitieron identificar algunas licencias que no se encontraban vencidas y que luego de las correcciones aplicadas se abarcaron escenarios faltantes.
2. Se realizó una corrección al sistema para la actualización en cascada del estado de la licencia al momento de quedar una extensión en firme, esto también corresponde a errores reportados por usuarios del sistema que permitieron detectar la falla. 
3. Mejora al procedimiento para el vencimiento de licencias en el cual se implementó un log de seguimiento que permite identificar fallas en el proceso de vencimiento. 
</t>
    </r>
    <r>
      <rPr>
        <b/>
        <sz val="10"/>
        <color rgb="FF000000"/>
        <rFont val="Arial"/>
      </rPr>
      <t xml:space="preserve">4. Implementación Resolución tarifaría: 
</t>
    </r>
    <r>
      <rPr>
        <sz val="10"/>
        <color rgb="FF000000"/>
        <rFont val="Arial"/>
      </rPr>
      <t xml:space="preserve">
Por parte de fábrica de software se avanzó en la implementación de las dos primeras historias de usuario las cuales eran prioritarias para la salida en producción de la resolución tarifaria, lo anterior debido a que contienen las mejoras que permitirán liquidar a través del MICC los pagos de cuotas de seguimiento de extensiones de licencia vencidas y próximas a vencer, que, según el marco normativo, deben ser canceladas dentro de los primeros 6 meses contados a partir de la entrada en vigencia de dicha resolución. 
Como evidencia queda: 
Informe de mejoras.</t>
    </r>
  </si>
  <si>
    <t>Durante el segundo cuatrimestre de 2025, el riesgo no se ha materializado y el control ha sido efectivo. Lo anterior teniendo en cuenta que se continúa dando aplicación a las actividades preventivas establecidas para mitigar la materialización o comisión del riesgo. 
CONTROL: 
Teniendo en cuenta el plan de trabajo establecido para la vigencia 2025, en el cual se determinó que aquellos licenciatarios que se encuentren calificados como cartera de tipo C y D, serían los primeros que se iban a requerir mediante oficio; para lo cual, durante el periodo del 01 de mayo al 31 de agosto del 2025, se realizaron un total de 213 requerimientos de pago, de los cuales 194 ya fueron enviados a través del gestor documental de la entidad y 19 se encuentran en revisión y firma por parte de la coordinación del Grupo Cannabis dado que se proyectaron en agosto. De este modo, se garantiza que la dependencia adelanta las acciones de cobro preventivo para el recaudo de la cartera. 
Como evidencia queda: 
Base con los requerimientos realizados a los licenciatarios durante el 2do cuatrimestre de 2025. 
PLAN DE TRATAMIENTO: 
Durante los meses de mayo, junio, julio y agosto se continuó dando cumplimiento a la acción establecida, de este modo se sostuvieron las reuniones mensuales entre el centralizador, el líder del equipo jurídico y el líder del equipo financiero, en este espacio, se realizó la conciliación y el seguimiento a las licencias de cultivo de plantas de cannabis y licencias de uso de semillas para siembra, otorgadas por esta dependencia. 
En estas sesiones, se ha concluido que los tres grupos de la Subdirección poseen la misma cantidad de licencias, que para el caso de la última reunión sostenida (agosto) se obtuvieron 2.523  licencias otorgadas y ejecutoriadas y 8 renovadas con corte al 31 de julio de la actual vigencia. 
Nota: Teniendo en cuenta la fecha de solicitud del presente reporte, la conciliación correspondiente al mes de agosto de 2025 se cargará en el próximo seguimiento. 
Como evidencia queda: 
Carpetas correspondientes a abril, mayo, junio y julio de 2025 que contienen el Acta de reunion de cada mes, listado de asistencia y sus respectivos anexos.</t>
  </si>
  <si>
    <t>Gestión de la Relación con los Grupos de Interés</t>
  </si>
  <si>
    <t>Gestionar la relación con los grupos de interés/valor del Ministerio de Justicia y del Derecho, mediante el diseño y desarrollo de instrumentos, actividades y estrategias de servicio y participación ciudadana, la atención de sus requerimientos y la promoción del gobierno abierto</t>
  </si>
  <si>
    <t>Posibilidad de afectacion economica y/o reputacional por daño antijurídico en relación con la gestión de PQRDS, debido a debilidades en los controles  para las respuestas adecuadas y oportunas de las comunicaciones radicadas al MJD</t>
  </si>
  <si>
    <r>
      <rPr>
        <b/>
        <sz val="10"/>
        <color theme="1"/>
        <rFont val="Arial"/>
        <family val="2"/>
      </rPr>
      <t>Causa 1:</t>
    </r>
    <r>
      <rPr>
        <sz val="10"/>
        <color theme="1"/>
        <rFont val="Arial"/>
        <family val="2"/>
      </rPr>
      <t>Debilidades en la definición, apropiación y ejecución de los controles establecidos,  para las respuestas oportunas de PQRSD.</t>
    </r>
  </si>
  <si>
    <t>Investigaciones Disciplinarias, acciones de tutela y demandas contra la entidad</t>
  </si>
  <si>
    <t>El (la) Coordinador(a) del GSC o quien el (ella) delegue, semestralmente revisara la necesidad de gestionar nuevos requerimientos funcionales para el adecuado soporte del trámite interno de las PQRDSF en el Sistema de Gestión Documental, e informara mediante documento  estos requerimientos,  al Grupo de Gestión Documental, a partir de las solicitudes y requerimientos del SGDA que se remitan por mesa de ayuda. Evidencia: Documento de requerimientos semestral.</t>
  </si>
  <si>
    <t>Causa 1:Debilidades en la definición, apropiación y ejecución de los controles establecidos,  para las respuestas oportunas de PQRSD.</t>
  </si>
  <si>
    <t>Realizar la validación de las inconsistencias identificadas en los informes trimestrales de PQRSD y reportar a la Oficina de Control Interno Disciplinario (OCID) los incumplimientos detectados, con el fin de que se adopten las medidas correspondientes.”</t>
  </si>
  <si>
    <t>Grupo de Gestión Documental - Grupo de servicio al Ciudadano</t>
  </si>
  <si>
    <t>1. Convocatoria realizada
2. Listados de asistencia
3. Memorandos (cuando aplique)
4. Programación de capacitaciones.
5. Correo electronico reportando a la OCID los incumplimientos de las PQRSD</t>
  </si>
  <si>
    <t xml:space="preserve">Control 1: Se anexa el seguimiento que se ha realizado con corte al primer trimestre de las necesidades funcionales al SGDA reportada en la mesa de ayuda y que sirve como insumo para la construcción del documento  semestral de requerimientos funcionales para el adecuado soporte del trámite interno de las PQRDSF que se remite al GGD.
Control 2: Se remite el memorando de fecha 20 de marzo, por medio del cual se informa la programación de capacitaciones sobre lineamientos para la gestión de PQRSD y protocolos de atención para el primer semestre del 2025. Así mismo, se anexa el cronograma de capacitaciones y las evidencias “Lista de asistencia y evidencia fotográfica” de las mismas, para los meses de marzo y abril de la vigencia.
Control 3: Se anexan las evidencias de alertas semanales sobre PQRDSF vencidas, así como próximos vencimientos de términos,  de acuerdo con los reportes de consulta disponibles en el Sistema de Gestión Documental, del GSC y de las dependencias del MJD, para los meses de enero, febrero, marzo y abril.
Control 4: Se anexa evidencia del reporte de inconsistencias en la gestión de PQRDSF por dependencia para los meses de enero, febrero, marzo y abril, así como los correos remisorios con la información respectiva a los enlaces de PQRSD de las dependencias del MJD.
</t>
  </si>
  <si>
    <t xml:space="preserve">Control 1: Se anexa el documento con corte a primer semestre de las necesidades funcionales al SGDA reportada en la mesa de ayuda y que fue la base de requerimientos funcionales para el adecuado soporte del trámite interno de las PQRDSF que se desarrolló en las reuniones de trabajo con el GGD, para su mejoramiento.
Control 2: Se remite el memorando de fecha 20 de marzo, por medio del cual se informa la programación de capacitaciones sobre lineamientos para la gestión de PQRSD y protocolos de atención para el primer semestre del 2025. Así mismo, se anexa el cronograma de capacitaciones y las evidencias “Lista de asistencia y evidencia fotográfica” de las mismas, para el mes de abril. Es de aclarar que las capacitaciones del segundo semestre se encuentran en este momento en desarrollo, de acuerdo al cronograma del mismo y que se socializó mediante el memorando de fecha 27 de agosto adjunto, al igual que el cronograma para su cumplimiento.
Control 3: Se anexan las evidencias de alertas semanales sobre PQRDSF vencidas, así como próximos vencimientos de términos,  de acuerdo con los reportes de consulta disponibles en el Sistema de Gestión Documental, del GSC y de las dependencias del MJD, para los meses de mayo, junio, julio y agosto.
Control 4: Se anexa evidencia del reporte de inconsistencias en la gestión de PQRDSF por dependencia para los meses de mayo, junio, julio y agosto, así como los correos remisorios con la información respectiva a los enlaces de PQRSD de las dependencias del MJD.
</t>
  </si>
  <si>
    <t>Para el presente seguimiento, se evidencia que la dependencia ha atendido las recomendaciones realizadas por la OCI en los seguimientos anteriores.
Sin embargo, en lo que respecta a las acciones del plan de tratamiento, aún persisten debilidades en su formulación. Por tal motivo, se recomienda a la dependencia revisar y ajustar dichas acciones para asegurar su coherencia y efectividad en la mitigación del riesgo.
Asimismo, a través de las evidencias aportadas, se pudo constatar que la dependencia está implementando los controles de forma adecuada, conforme a lo establecido en su diseño.</t>
  </si>
  <si>
    <r>
      <rPr>
        <b/>
        <sz val="10"/>
        <color theme="1"/>
        <rFont val="Arial"/>
        <family val="2"/>
      </rPr>
      <t xml:space="preserve">Causa 2 </t>
    </r>
    <r>
      <rPr>
        <sz val="10"/>
        <color theme="1"/>
        <rFont val="Arial"/>
        <family val="2"/>
      </rPr>
      <t xml:space="preserve">Desconocimiento por parte de servidores y contratistas para el correcto manejo del sistema de gestión documental, que soporta la gestión de las PQRSD.
</t>
    </r>
  </si>
  <si>
    <t>Manejo incorrecto por uso o abuso del aplicativo SGDA, para las respuestas a las PQRSD.</t>
  </si>
  <si>
    <t>El (la) Coordinador(a) del GSC o quien el (ella) delegue,  semestralmente, programará las capacitaciones en relación con la gestión de PQRDSF y los protocolos de atención a la ciudadaní , verificando los listados de asistencia y asi mismo, la participacion de todas las dependencias, especialmente de aquellas que generan mas inconsitencias, incluyendo los temas referentes al daño antijuridico. En caso de la inasistencia de alguna dependencia, se programara la capacitación en el mes siguiente, para el cumplimiento del programa. Evidencia: Programa de capacitaciones y listado de asistencia.</t>
  </si>
  <si>
    <t xml:space="preserve">Causa 2 Desconocimiento por parte de servidores y contratistas para el correcto manejo del sistema de gestión documental, que soporta la gestión de las PQRSD.
</t>
  </si>
  <si>
    <t xml:space="preserve">
Efectuar la revisión y actualización del procedimiento ‘Gestión de Requerimientos de los Grupos de Interés – Código P-GG-01’, incorporando los puntos de control que permitan verificar el cumplimiento de los términos legales, garantizar la trazabilidad del proceso y fortalecer los mecanismos de control interno</t>
  </si>
  <si>
    <t>Grupo Servicio al Ciudadano - Enlaces PRDS de cada una de las dependencias.</t>
  </si>
  <si>
    <t>1. Correos electronicos de seguimiento de los enlaces de PQRDS
2. Requerimiento al líder (jefe) de la dependencia (si se requiere)
3. Correo del enlace al responsable con las alertas de próximos vencimientos.
4. Procedimiento actualizado en el SIG y socializado a los funcionarios y contratistas del MJD</t>
  </si>
  <si>
    <r>
      <rPr>
        <b/>
        <sz val="10"/>
        <color theme="1"/>
        <rFont val="Arial"/>
        <family val="2"/>
      </rPr>
      <t xml:space="preserve">Causa 3 </t>
    </r>
    <r>
      <rPr>
        <sz val="10"/>
        <color theme="1"/>
        <rFont val="Arial"/>
        <family val="2"/>
      </rPr>
      <t>Falta de seguimiento y control del GSC; en los terminos de las  respuestas de las PQRSD de las dependencias y del GSC.</t>
    </r>
  </si>
  <si>
    <t>Incumplimiento en la respuesta oportuna a las PQRSD por las dependencias.</t>
  </si>
  <si>
    <t>El (la) Coordinador(a) del GSC o quien el (ella) delegue, semanalmente generara a todas las dependencias (Incluidas las alertas del GSC) de la entidad por correo electrónico, sobre PQRDSF vencidas y próximos vencimientos de términos,  de acuerdo con los reportes de consulta disponibles en el Sistema de Gestión Documental . Evidencias: Reporte semanal de inconsistencias y alertas,  remitido por correo electronico a las dependencias y correo de reiteración en los casos que aplique.</t>
  </si>
  <si>
    <t>Causa 3 Falta de seguimiento y control del GSC; en los terminos de las  respuestas de las PQRSD de las dependencias y del GSC.</t>
  </si>
  <si>
    <t xml:space="preserve">
Realizar mesas de trabajo con las dependencias que presentaron inconsistencias en el reporte de PQRSD para identificar mejoras internas del proceso o acciones particulares de cada dependencia
</t>
  </si>
  <si>
    <t>Grupo de Servicio al Ciudadano</t>
  </si>
  <si>
    <t>1. Informe construido
2. Link de publicación
3. Correo a GCID
4. Evidencias de presentación a comité
5. Evidencias de divulgación al Ministro y las dependencias
6. Listados de asistencias/actas mesas de trabajo</t>
  </si>
  <si>
    <r>
      <rPr>
        <b/>
        <sz val="10"/>
        <color theme="1"/>
        <rFont val="Arial"/>
        <family val="2"/>
      </rPr>
      <t>Causa 4</t>
    </r>
    <r>
      <rPr>
        <sz val="10"/>
        <color theme="1"/>
        <rFont val="Arial"/>
        <family val="2"/>
      </rPr>
      <t>: Incumplimiento en las condiciones que fija la ley, en relación con la gestión y respuesta de PQRDS.</t>
    </r>
  </si>
  <si>
    <t>Investigaciones Disciplinarias, Acciones de tutela y demandas contra la entidad</t>
  </si>
  <si>
    <t>El (la) Coordinador(a) del GSC o quien el (ella) delegue, mensualmente, elaborara un reporte de inconsistencias en la gestión de PQRDSF por dependencia, el cual será enviado al enlace de PQRDSF con copia al jefe inmediato para su respectiva retroalimentación, el GSC validará y verificará las observaciones quedando como resultado un reporte final el cual será socializado en mesa de trabajo con las dependencias que generen mayor número de PQRDSF fuera de términos. Evidencia: Correos electronicos y drive compartido con las evidencias que cargan los enlaces sobre el monitoreo realizado a las PQRSD de las dependencias.</t>
  </si>
  <si>
    <t>Causa 4: Incumplimiento en las condiciones que fija la ley, en relación con la gestión y respuesta de PQRDS.</t>
  </si>
  <si>
    <t xml:space="preserve">
Medir y reportar ante el SIG el indicador "Oportunidad en la respuesta a las PQRD presentadas a la Entidad" y en caso de obtener un resultado por debajo de la calificación "optimo", definir e implementar acciones de mejora que fortalezcan la gestión de las dependencias responsables que contribuyan al cumplimiento de los términos de ley. 
</t>
  </si>
  <si>
    <t>El Coordinador (a) de Grupo de servicio al Ciudadano o quien el (ella) delegue.</t>
  </si>
  <si>
    <t>1. Informe PQRSD trimestral
2. Link de publicación
3. Revision de indicadores en Daruma
4. Evidencias del seguimiento trimestral a los indicadores del proceso.
5. Evidencia del plan contingente en caso de incumplimiento a las metas de los indicadores.</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</si>
  <si>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</si>
  <si>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Pérdida de imágen institucional por incumplimiento en los términos de la solicitud de beneficio jurídico de indulto, debido a  la demora en la gestion realizada por los actores internos involucrados en el trámite, al no conocer la normativa y requisitos asociados al trámite.</t>
  </si>
  <si>
    <t>4-Incrementar el acceso a los diferentes mecanismos de Justicia Transicional, especialmente en las poblaciones y territorios más afectados por el conflicto armado, para contribuir a la paz total.</t>
  </si>
  <si>
    <t>Desconocimiento del proceso de solicitud por parte del beneficiario</t>
  </si>
  <si>
    <t>Presentar documentación incompleta que impide el inicio del procedimiento</t>
  </si>
  <si>
    <t>El profesional del Equipo del Grupo de Acciones Legales y Constitucionales, cuando se presente la solicitud, se verificará si la misma reune los requisitos señalados en la ley y notifica al ciudadano para subsanar los requerimientos de la solicitud.  La evidencia de este control será el oficio de notificación al peticionario en los términos de ley.</t>
  </si>
  <si>
    <t xml:space="preserve">Actualización del procedimiento P-CR-16 Versión 2 y de sus formatos asociados a fin de poder implementar adecuadamente los controles relacionados con los términos para adelantar las actividades propuestas en el mismo.  </t>
  </si>
  <si>
    <t>Una vez al año</t>
  </si>
  <si>
    <t>Coordinador Grupo de Acciones Legales y Constitucionales</t>
  </si>
  <si>
    <t>Procedimiento y formatos actualizados</t>
  </si>
  <si>
    <t>La medición de los controles establecidos inicia a partir del segundo cuatrimestre toda vez que fueron  identificados en el ejercicio de la actualización de mapa de riesgos</t>
  </si>
  <si>
    <t>Para el segundo monitoreo, conforme a las observaciones de la Oficina Asesora de Planeación y de la Oficina de Control Interno, se procedió a modificar la descripción de los controles, los cuales se empezarán a ejecutar para el tercer cuatrimestre.  
En cuanto al plan de tratamiento, conforme a las fechas propuestas, comenzarán a partir del 1 de septiembre de 2025, debido a que estos dependen en gran medida de los ajustes que se realicen al procedimiento de indulto, y el avance en la elaboración de la pieza comunicativa a la página web</t>
  </si>
  <si>
    <t>Para el presente seguimiento, se evidencia que la dependencia ha actualizado la definición del riesgo, así como sus causas y controles, en concordancia con su realidad institucional y conforme a lo señalado por la OCI en el último seguimiento de la vigencia 2024.
Se recomienda a la dependencia dar inicio a la implementación de los controles definidos y; adicionalmente, establecer controles para aquellas causas identificadas que aún no cuentan con uno asociado, dado que cada causa debe estar vinculada a un control específico para garantizar una adecuada administración del riesgo.</t>
  </si>
  <si>
    <t>Falta de mecanismos de comunicación para la difusión de la figura del Indulto a los ciudadanos y/o beneficiarios</t>
  </si>
  <si>
    <t>Reprocesos al interior de la entidad al no presentarse solicitudes con el lleno de los requisitos de ley</t>
  </si>
  <si>
    <t>El profesional designado para el tramité del Grupo de Acciones Legales y Constitucionales, cuando se presente la solicitud hará la creación del expediente digital con la documentación requerida en la ley, la cual será el insumo para la elaboración y expedición del acto administrativo que concede el indulto o lo niega.  La evidencia de este control, será la carpeta digital.</t>
  </si>
  <si>
    <t>Demora en la gestión realizada por los actores internos involucrados en el trámite al no conocer la normativa y requisitos asociados al trámite</t>
  </si>
  <si>
    <t>Realizar acciones de socialización a la ciudadanía sobre los requisitos para el acceso al indulto a través de la página Web del Ministerio de Justicia y del Derecho,</t>
  </si>
  <si>
    <t>Dos veces al año</t>
  </si>
  <si>
    <t>Folleto y pieza grafica divulgada en redes sociales y página web</t>
  </si>
  <si>
    <t>Incumplimiento en los términos de la solicitud de beneficio jurídico de indulto</t>
  </si>
  <si>
    <t>Sanciones disciplinarias</t>
  </si>
  <si>
    <t>El Equipo de Comunicaciones de la Dirección de Justicia Transicional elaborará en articulación con la Oficina de Prensa y Comunicaciones,  una pieza comunicativa que posteriormente sea subida a la Página Web del Ministerio de Justicia y del Derecho, en la cual se señale en qué consiste la figura de Indulto, quíenes pueden beneficiarse del indulto y qué requisitos debe reunir la solicitud de indulto.  De manera periodica, el Equipo de Comunicaciones realizará el seguimiento a la página web para verificar que la información se encuentre activa y actualizada. La evidencia será la página Web con la información actualizada.</t>
  </si>
  <si>
    <t>El lider de calidad publicara y mantendra actualizada en la página web oficial del MJD y en el SUIT (Sistema Único de Información de Trámites), la información completa y clara sobre el trámite de indulto, incluyendo requisitos, normativa aplicable, plazos, formatos y canales de atención al ciudadano. La evidencia de este control sera la publicación del tramite en la pagina del MJD y los seguimeintos trimestrales del SUIT</t>
  </si>
  <si>
    <t>Lider de calidad Dirección de Justicia Transicional</t>
  </si>
  <si>
    <t>Registro en el SUIT</t>
  </si>
  <si>
    <t>Sanciones disciplinarias y reprocesos al interior del equipo de trabajo</t>
  </si>
  <si>
    <t xml:space="preserve"> El Coordinador del Grupo de Acciones Legales y Constitucionales, cada dos meses, solicitará por escrito al profesional encargado del trámite de indulto, los avances en la obtención de la información relacionada con la solicitud de documentos, a fin de proceder a la insistencia en la entrega de la misma por parte de las autoridades o solicitante a cargo y así evitar demoras en la conformación del expediente de indulto.  La evidencia será el informe del trámite.</t>
  </si>
  <si>
    <t>Realizar seguimiento a las actividades propias del procedimiento de indulto, estableciendo puntos de control en cuanto a requerimietnos a las entidades para envío de información necesaria para la conformación del expediente.</t>
  </si>
  <si>
    <t>Bimensual</t>
  </si>
  <si>
    <t>Informes de gestión</t>
  </si>
  <si>
    <t>5-Desarrollar mecanismos de justicia restaurativa y de alternatividad penal, para transformar la política criminal, mediante la adopción de un enfoque centrado en el respeto de los DDHH y el avance en la superación de las cosas inconstitucionales del Sistema Penitenciario y Carcelario.</t>
  </si>
  <si>
    <t>Causa 1: Olvido por parte del personal responsable de trasladar los hallazgos mediante oficio.</t>
  </si>
  <si>
    <t>Afectación en las capacidades de atención de las entidades que conforman el sistema de responsabilidad penal para adolescentes.</t>
  </si>
  <si>
    <t>El o la coordinadora del grupo de politica criminal de adolescentes y jovenes realizará la coordinación con el ICBF para el alistamiento de las visitas de monitoreo de la garantía de derechos humanos de adolescentes y jóvenes privados de la libertad en el SRPA a los centros seleccionados aleatoriamente y planeadas en el cronograma. En caso de no poder realizar la visita por problemas con los operadores del ICBF o situaciones de seguridad al interior de los centros, se reprogramará la fecha de la visita y se ajustará el cronograma. Evidencias: cronograma y correo de ICBF con la información para la visita.</t>
  </si>
  <si>
    <t>PROPUESTA DE AJUSTES GRUPO A Y J:  
1. Realizar visitas de monitoreo de la garantía de derechos humanos de adolescentes y jóvenes privados de la libertad en el SRPA, en los centros seleccionados conforme al prcedimiento.
2. Elaborar informes por centro visitado.
3. Hacer los oficios de traslado de los hallazgos evidenciados en las visitas realizadas.</t>
  </si>
  <si>
    <t>Cada vez que se realicen las visitas de monitoreo de la garantía de derechos humanos de los adolescentes y jóvenes privados de la libertad en el SRPA</t>
  </si>
  <si>
    <t>Coordinador (a)  del Grupo de Política Criminal de Adolescentes y Jóvenes</t>
  </si>
  <si>
    <r>
      <rPr>
        <sz val="11"/>
        <color theme="1"/>
        <rFont val="Calibri"/>
        <family val="2"/>
        <scheme val="minor"/>
      </rPr>
      <t>Informes por centro visitado y Oficio de traslado de hallazgos generado en SGDEA</t>
    </r>
  </si>
  <si>
    <t>El inicio de actividades para este riesgo esta contemplado para el mes de junio, por lo que en este periodo no se tiene reporte.</t>
  </si>
  <si>
    <t>* El 22 de agosto se realizó la transferencia del procedimiento y la socialización de los formatos a utilizar en el Monitoreo de DDHH de adolescentes y jóvenes privados de la libertad en el SRPA.
* El 15 de agosto mediante correo electrónico se solicitó a ICBF -Subdirección de Responsabilidad Penal, mediante el cual se informó el cronograma de visitas de monitoreo y se solicitó la autorización para el ingreso a los centros en los que se aplicarían los instrumentos de monitoreo. Dicho requerimiento fue respondido por el ICBF, mediante correo electrónico el 19 de agosto (adjunto correo y oficio), permitiendo dar inicio a las visitas programadas a partir del mes de agosto de 2025.
* El 22 de agosto  se remitió por correo electrónico a ICBF los instrumentos de recolección de información para el monitoreo DDHH de adolescentes y jóvenes privados de la libertad en el SRPA</t>
  </si>
  <si>
    <t>Para el presente seguimiento, se evidencia que la dependencia ha realizado la actualización de la definición del riesgo. Sin embargo, se recomienda revisar la estructura de dicha definición, la cual debe estar compuesta por el impacto, la causa inmediata y la causa raíz -en ese orden-.
Asimismo, se sugiere a la dependencia ajustar la descripción del impacto dentro del riesgo, entendiendo este como la mayor consecuencia que podría generar la materialización del riesgo para la entidad.
En cuanto a los controles, si bien se observa un ajuste en su definición, aún no es claro cómo estos contribuyen efectivamente a la mitigación del riesgo. Además, se identifica la ausencia de controles asociados a cada una de las causas identificadas. Es importante reiterar que cada causa debe contar con un control específico que permita su adecuada gestión.
De igual forma, se recomienda que las causas definidas estén orientadas a atacar también la causa raíz del riesgo identificado.
Se espera que para los próximos seguimientos la dependencia subsane las falencias señaladas por la OCI en el presente seguimiento.</t>
  </si>
  <si>
    <t xml:space="preserve">Posibilidad de afectación reputacional por la  falta de gestión y liderazgo del MJD en el traslado oportuno, mediante oficio de los hallazgos identificados en las visitas de monitoreo de la garantía de derechos humanos de los adolescentes y jóvenes privados de la libertad en el Sistema de Responsabilidad Penal para Adolescentes - SRPA, debido a la  inadecuada aplicación de los controles definidos en los lineamientos internos y en la normatividad descrita en los documentos del Sistema Integrado de Gestión (SIG) del MJD. </t>
  </si>
  <si>
    <t>Causa 1: Falta de gestión y liderazgo del MJD en el traslado oportuno, mediante oficio de los hallazgos identificados en las visitas de monitoreo de la garantía de derechos humanos de los adolescentes y jóvenes privados de la libertad en el Sistema de Responsabilidad Penal para Adolescentes - SRPA,</t>
  </si>
  <si>
    <t>Los profesionales del grupo política criminal de adolescentes y jóvenes a  cargo de las visitas de monitoreo de la garantía de derechos humanos de adolescentes y jóvenes privados de la libertad en el SRPA, elaborarán el informe por centro y los oficios de traslado de los hallazgos evidenciados en las visitas a las entidades resposables.
Evidencia: formato de anteproyecto de presupuesto, correo electrónico de envío, informe por centro visitado y oficios de traslado de hallazgos.</t>
  </si>
  <si>
    <t xml:space="preserve">Causa 2: Inadecuado cumplimiento de las funciones del MJD, de la aplicación de los controles definidos en los lineamientos internos y en la normatividad descrita en los documentos del Sistema Integrado de Gestión (SIG) del MJD. </t>
  </si>
  <si>
    <t>Investigaciones disciplinarias</t>
  </si>
  <si>
    <t xml:space="preserve">El director (a) de politica criminal y penitenciaria anualmente solicitará la asignación de recursos para cumplir con  la elaboración del informe por centro que resulta de las visitas de monitoreo de la garantía de derechos humanos de los adolescentes y jóvenes privados de la libertad en el SRPA (verificar las condiciones de privación de la libertad), en el marco del proyecto de inversión que se formule para cada vigencia. Asimismo, dar traslado de los hallazgos evidenciados en las visitas a las entidades resposables.
En caso de que no se cuente con los recursos se solicitarán nuevamente para su asignación.
Evidencia: formato de anteproyecto de presupuesto, correo electrónico de envío, informe por centro viisitado y oficios de traslado de hallazgos.
</t>
  </si>
  <si>
    <t>Posibilidad de afectación reputacional por la deficiente o inadecuada ejecución de lineamientos institucionales relacionados con el Sistema Penitenciario y Carcelario</t>
  </si>
  <si>
    <t>Causa 1 : Deficiente ejecución del procedimiento relacionado con el seguimiento a establecimientos de reclusión del orden nacional.</t>
  </si>
  <si>
    <t>Deterioro de la imagen institucional.</t>
  </si>
  <si>
    <t>El coordinador (a) de Politica Penitenciaria y Carcelaria diseñara un cronograma de visitas de seguimiento a los establecimientos de reclusión del orden nacional, respecto del cual se realizará un monitoreo trimestral para verificar el cumplimiento de las visitas. Evidencia: cronograma.</t>
  </si>
  <si>
    <t>Se elimino el riesgo anterior, se crero un nuevo riesgo con nuevo diseño, causas y controles, por lo tanto, los controles inician en el mes de octubre.</t>
  </si>
  <si>
    <t>Para el presente seguimiento se evidencia que el riesgo identificado por la dependencia carece de una definición clara y de la estructura adecuada (impacto + causa inmediata + causa raíz). Se insta a la dependencia a llevar a cabo un análisis y actualización completos del riesgo.
Asimismo, se observa una insuficiente identificación de las causas y una formulación deficiente de los controles para abordarlas, ya que estos carecen de una estructura adecuada.
Es fundamental que la identificación del riesgo se realice de manera correcta para permitir una adecuada determinación de causas y controles. Sin esta base, resulta difícil focalizar el riesgo y establecer controles efectivos.
Se espera que para el próximo seguimiento la dependencia actualice integralmente el riesgo, las causas y los controles, a fin de facilitar una evaluación adecuada.
Finalmente, se recomienda mejorar la redacción del monitoreo que la dependencia realiza.</t>
  </si>
  <si>
    <t>Gestión Jurídica</t>
  </si>
  <si>
    <t>Apoyar la concreción del objetivo del Ministerio de Justicia y del Derecho por medio de la emisión de conceptos jurídicos, viabilidad jurídica sobre actos administrativos y representación judicial de la entidad, con el fin de contribuir a la prevención del daño antijurídico y fortalecer el recaudo de obligaciones a favor de esta Cartera Ministerial, así como de promover la unidad de criterio jurídico entre sus dependencias y respecto de los asuntos jurídicos correspondientes al Sector Administrativo de Justicia y del Derecho.</t>
  </si>
  <si>
    <t>Sanciones al Ministerio de Justicia y del Derecho por falta de oportunidad para contestar y proyectar, en los términos legales, los documentos asociados a la revisión y emisión de Actos Administrativos, Consultas ante el Consejo de Estado, Acciones de Tutela, Respuesta Derechos de Petición y Conceptos, derivados de las fallas en la disponibilidad de la información suministrada y de la supervisión de los términos</t>
  </si>
  <si>
    <t>Causa 1:Dificultad de recopilación de la información y documentación necesaria para proyectar las respuestas</t>
  </si>
  <si>
    <t>Reclamaciones o quejas de los usuarios</t>
  </si>
  <si>
    <t>El funcionario designado verificara diariamente, con el fin de realizar seguimiento a los términos de respuesta y generar las alertas de seguimiento y, asimismo, verificar la competencia de la Dirección, para dar trámite a la solicitud según el grupo que le corresponda y el término legal para hacerlo, cuando proceda, registra en las matrices diseñadas los requerimientos recibidos. Si al momento de realizar la verificación determina que los requerimientos son competencia de otra dependencia interna, se realiza la respectiva reasignación de los requerimientos. Evidencia:
- Matriz de consultas del Consejo de Estado
- Registro Acciones de Tutela
- Matriz de actuaciones administrativas
- Matriz de solicitudes generales (Conceptos Jurídicos) – Derechos de Petición 
- Reasignación de los requerimientos cuando haya lugar</t>
  </si>
  <si>
    <t>Reunión con el Director Coordinador y profesionales a fin de revisar los casos que presentaron inconsistencias y su tratamiento</t>
  </si>
  <si>
    <t>Director Jurídico</t>
  </si>
  <si>
    <t>Acta - Lista de Asistencia</t>
  </si>
  <si>
    <t xml:space="preserve">No se han materializado los riesgos derivados de la falta de oportunidad en la emisión de actos administrativos, consultas y conceptos. Durante este periodo no presentó vencimiento de termitos en estos trámites. De allí que se pueda concluir que los controles incluidos en los cuadros de seguimiento han sido efectivos.se han enviado los reportes a los profesionales con la alerta correspondiente para responder en terminos legales. </t>
  </si>
  <si>
    <t>Para el presente seguimiento se evidencia que la dependencia continúa con la implementación del control actualmente establecido.
No obstante, se recomienda que la dependencia realice un análisis exhaustivo de las causas utilizando la metodología que considere más adecuada, con el fin de identificar otras posibles causas que puedan generar la materialización del riesgo. Asimismo, una vez identificadas, se debe proceder a definir controles específicos para cada una de estas causas.
Finalmente, se sugiere mejorar la descripción del monitoreo realizado por la dependencia, de manera que la OCI pueda evidenciar claramente las acciones tomadas en relación con la administración del riesgo.</t>
  </si>
  <si>
    <t>Pérdida de recursos económicos para el MJD por la inoportuna Gestión de Las Actividades De Cobro, al no realizar el seguimiento a las obligaciones recibidas y en gestión de cobro.</t>
  </si>
  <si>
    <t>Causa 1:Falta de envío oportuno y con calidad del título ejecutivo, por parte de las áreas generadoras</t>
  </si>
  <si>
    <t>Pérdida de oportunidad en el recaudo de los recursos a favor de la Nación</t>
  </si>
  <si>
    <t>El coordinador del Grupo de Actuaciones Administrativas al menos una vez al mes, realiza la identificación de las actuaciones e impulsos de la gestión de cobro de cada obligación, realiza seguimiento a las obligaciones recibidas y en gestión de cobro. Si al momento de la revisión, se identifica inactividad procesal, se remitirá solicitud o correo electrónico o memorando para la priorización de estos procesos al abogado encargado. Evidencia: 
- Matriz de Cobro Coactivo donde se incluye la revisión
- Actas de reuniones de seguimiento
- Correos, comunicaciones o memorandos solicitando la priorización del proceso cuando haya lugar.</t>
  </si>
  <si>
    <t>Reunión con el Grupo Financiero - Director Jurídico - Coordinador GAA a fin de revisar los casos críticos y su posible tratamiento o reclasificación contable</t>
  </si>
  <si>
    <t xml:space="preserve">Cuando aplique </t>
  </si>
  <si>
    <t xml:space="preserve">Director Jurídico </t>
  </si>
  <si>
    <t xml:space="preserve">Acta - Lista de Asistencia </t>
  </si>
  <si>
    <t>Durante este este periodo no se materializo el riesgo en los procesos de cobro persuasivo y coactivo para lo cual la Coordinación del Grupo de Actuaciones Administrativas de la Dirección Jurídica realizo impulso procesal e indicando que de conformidad con las disposiciones del numeral 15 del artículo 9 de la Resolución 685 de 2017, con corte a 30 de abril tenemos los siguientes temas de cobro coactivo:
Temas de cobro coactivo 
Procesos de cobro derivados de condenas de costas procesales y disciplinarios 19 Se encuentran en etapa de cobro persuasivo y coactivo
Procesos derivados de Licencia de cannabis 49 Se encuentran en etapa de análisis para cobro persuasivo y coactivo</t>
  </si>
  <si>
    <t xml:space="preserve">Durante este este periodo no se materializo el riesgo en los procesos de cobro persuasivo y coactivo para lo cual la Coordinación del Grupo de Actuaciones Administrativas de la Dirección Jurídica realizo impulso procesal e indicando que de conformidad con las disposiciones del numeral 15 del artículo 9 de la Resolución 685 de 2017, con corte a 31 de agosto tenemos los siguientes temas de cobro coactivo:
Temas de cobro coactivo 
Procesos de cobro derivados de condenas de costas procesales y disciplinarios 23 Se encuentran en etapa de cobro persuasivo y coactivo
Procesos derivados de Licencia de cannabis 137 Se encuentran en etapa de análisis para cobro persuasivo y coactivo
</t>
  </si>
  <si>
    <t>Para el presente seguimiento se evidencia que la dependencia continúa con la implementación del control actualmente establecido.
No obstante, se recomienda que la dependencia realice un análisis exhaustivo de las causas, utilizando la metodología que considere más adecuada, con el fin de identificar y validar otras posibles causas que puedan dar lugar a la materialización del riesgo. Una vez identificadas, deberá definir controles específicos para atacar cada una de ellas.
Por otra parte, la OCI reitera la importancia de incluir una acción en el plan de tratamiento que permita reforzar el control y asegurar su aplicación constante o con una periodicidad más frecuente.</t>
  </si>
  <si>
    <t>Afectaciones jurídicas a la Entidad por el deficiente cargue de la información y al efectuar calificaciones de los riesgos procesales de manera inoportuna o con errores, por no tener un seguimiento a la gestión litigiosa realizada</t>
  </si>
  <si>
    <t>Causa 1: Fallas en el seguimiento al cargue y registro en el sistema E-kogui de la calificación de los riesgos procesales.</t>
  </si>
  <si>
    <t>Afectación de la ejecución presupuesta</t>
  </si>
  <si>
    <t>El coordinador del Grupo de Defensa Jurídica, al menos dos veces al semestre, a fin de verificar la información del E-kogui, realiza seguimiento a las calificaciones de los riesgos procesales,  Si al momento del seguimiento identifica faltantes en la información registrada en E-kogui, procederá a solicitar al abogado encargado la actualización y verificación de esta información,  en el E-kogui . 
Evidencia: 
Formato de consolidación procesal
Comunicación con la comparación realizada
Solicitud de actualización y verificación, cuando sea el caso</t>
  </si>
  <si>
    <t>Reunión con la Agencia Nacional de Defensa Jurídica del Estado, a fin de generar acciones conjuntas que permita disminuir las inconsistencias en el cargue de la información al sistema</t>
  </si>
  <si>
    <t>No se materializo el riesgo en este sentido se  verifica en Plataforma Ekogui el estado de procesos en el que se logra evidenciar la paridad de informacion registrada, haciendo enfasis en las calificaciones de los riesgos procesales a corte 31 de diciembre  de 2024</t>
  </si>
  <si>
    <t>Para este seguimiento, no se dispone de la evidencia indicada en el control ni en la acción del plan de tratamiento, lo cual no permite que la OCI verifique su implementación.
No obstante, se recomienda a la dependencia llevar a cabo un análisis exhaustivo de las causas, utilizando la metodología que considere más adecuada, con el propósito de identificar posibles causas adicionales que puedan propiciar la materialización del riesgo. Una vez identificadas, deberán definirse controles específicos para abordar cada una de estas causas.
Finalmente, se sugiere mejorar la descripción del proceso de monitoreo realizado, de manera que la OCI pueda evidenciar claramente las acciones de la dependencia relacionadas con la gestión y administración del riesgo.</t>
  </si>
  <si>
    <t>Afectaciones jurídicas, económicas y demás por la indebida defensa de los intereses de la Entidad, por el vencimiento de términos en los procesos contenciosos y conciliaciones en los que es parte el Ministerio de Justicia y del Derecho, por falta de seguimiento al estado de los procesos</t>
  </si>
  <si>
    <t>Causa 1: Falta de seguimiento a las notificaciones de los procesos contenciosos y a las conciliaciones</t>
  </si>
  <si>
    <t>Pérdida de oportunidad en la defensa de los intereses de la Nación</t>
  </si>
  <si>
    <t>El coordinador del Grupo de Defensa Jurídica, mensualmente realiza un seguimiento a los términos de los procesos contenciosos y de las conciliaciones en los que es parte el Ministerio de Justicia y del Derecho en los registros realizados por los apoderados en los formatos preestablecidos en los procedimientos y en el eKOGUI. Si al momento de realizar el seguimiento, identifica procesos contenciosos o conciliatorios próximos a vencerse, prioriza estos procesos para adelantar los trámites correspondientes según el estado del proceso Evidencia: 
Formatos establecidos en los procesos
Correos con alertas de vencimiento</t>
  </si>
  <si>
    <t>Remisión de memorando a fin de exhortar a los funcionarios para que evite el vencimiento, remita las opciones que procede jurídicamente en el caso concreto e iniciar el proceso disciplinario que corresponda</t>
  </si>
  <si>
    <t xml:space="preserve">Memorando /Correo Electrónico </t>
  </si>
  <si>
    <t>No se materializo el riesgo en este sentido se  verifica en Plataforma Ekogui el estado de procesos en el que se logra evidenciar la paridad de informacion registrada, haciendo enfasis en las calificaciones de los riesgos procesales, se hizo seguieminto según reporte de ekogui.</t>
  </si>
  <si>
    <t>Para este seguimiento, se constata que la dependencia no ha dado cumplimiento a ninguna de las recomendaciones emitidas por la OCI durante los seguimientos realizados en la vigencia 2024.
Desde la OCI se reitera la importancia de realizar un análisis profundo de las causas que pueden provocar la materialización del riesgo, así como de establecer controles efectivos que aborden tanto estas causas como la causa raíz del riesgo.
Persisten deficiencias en la formulación de la acción correspondiente al plan de tratamiento.</t>
  </si>
  <si>
    <t xml:space="preserve">
Pérdida de recursos por la inoportunidad en el pago de sentencias y conciliaciones en contra de la entidad, debido al deficiente seguimiento al estado de los casos
</t>
  </si>
  <si>
    <t>Causa 1: Falta de seguimiento al cargue de la información en el registro de información procesal y en E-kogui</t>
  </si>
  <si>
    <t>Deterioro de la imagen del Ministerio</t>
  </si>
  <si>
    <t>El coordinador del Grupo de Defensa Jurídica, al menos dos veces al semestre, a fin de priorizar los pagos de las sentencias y conciliaciones, realiza seguimiento a las calificaciones de los riesgos procesales contenidas en E-kogui.  Si al momento del seguimiento identifica la obligación de pago de una sentencia o conciliación próxima a realizarse, procederá a solicitar al abogado la información para la solicitud del PAC en financiera para el trámite correspondiente.
 Evidencia: 
Formato de consolidación procesal
Comunicación al abogado 
Solicitud de PAC</t>
  </si>
  <si>
    <t>Reunión con Secretario General- Grupo financiero -Director Jurídico a fin de establecer el mecanismo y lineamientos que permita el oportuno pago de los compromisos judiciales</t>
  </si>
  <si>
    <t>No se ha materializado el riesgo y los controles han sido efectivos, para lo cual durante el periodo de revisión el GDJ dio atención y trámite a las demandas que se notificaron en contra de la entidad. El trámite de todas las demandas inicia con la notificación al MJD, finalizando su gestión según los términos legales. En este sentido se realizó la revisión del estado procesal de los pleitos en los que interviene el MJD, con las limitaciones propias del alto flujo de procesos a cargo de los apoderados de la Dirección Jurídica.</t>
  </si>
  <si>
    <t>Para este seguimiento se evidencia que la dependencia no ha dado respuesta a ninguna de las observaciones realizadas por la OCI en relación con el riesgo evaluado.
Por tanto, se insta a la dependencia a convocar una mesa de trabajo con la OAP, en la cual se revisen detalladamente todas las observaciones hechas por la OCI, se actualice el riesgo y se avance hacia una administración efectiva del mismo que contribuya a la mejora institucional. Asimismo, durante esta reunión se recomienda evaluar la pertinencia de cada uno de los riesgos identificados por la dependencia, con el fin de racionalizarlos si es necesario.
Adicionalmente, se sugiere ser más claros y específicos en la descripción del monitoreo realizado desde la primera línea de defensa, para evidenciar que los controles están funcionando adecuadamente y que las acciones de tratamiento contribuyen a su efectividad.
Finalmente, hasta que la dependencia no atienda las observaciones señaladas, la OCI enfrentará dificultades para realizar una evaluación adecuada del riesgo.</t>
  </si>
  <si>
    <t>Pérdida de oportunidad en la intervención de los procesos en los que tienen interés el MJD, por el vencimiento de términos en la presentación de memoriales propios de los procesos de extinción de dominio en los que interviene el Ministerio de Justicia y del Derecho, por no realizar seguimiento oportuno a los procesos</t>
  </si>
  <si>
    <t>Causa 1: No realizar las actuaciones procesales en los términos legales</t>
  </si>
  <si>
    <t>Incumplimiento en las metas y objetivos de la Dirección Jurídica</t>
  </si>
  <si>
    <t>Insignificante</t>
  </si>
  <si>
    <t>El coordinador del Grupo de Extinción de Dominio semanalmente realiza un seguimiento a los términos de los memoriales de los procesos de extinción de dominio en los que interviene el Ministerio de Justicia y del Derecho, en los registros realizados por los apoderados en los formatos preestablecidos en la Guía de Extinción de Dominio. Si al momento de realizar el seguimiento, identifica memoriales de los procesos de extinción de dominio próximos a vencerse, prioriza estos procesos para adelantar los trámites correspondientes según el estado del proceso,
Evidencia: 
Formatos establecidos en la Guía 
Correos con alertas de vencimiento</t>
  </si>
  <si>
    <t xml:space="preserve">
Remisión de memorando a fin de exhortar al funcionario para que justifique el vencimiento, remita las opciones que procede jurídicamente en el caso concreto e iniciar el proceso disciplinario que corresponda</t>
  </si>
  <si>
    <t xml:space="preserve">No se ha materializado el riesgo y los controles han sido efectivos. Para este período el GED reviso  1338  nuevas actuaciones procesales, en los cuales se determinó con base en las directrices de la guia se determino alertas para evitar el vencimiento en 434  </t>
  </si>
  <si>
    <t xml:space="preserve">No se ha materializado el riesgo y los controles han sido efectivos. Para este período el GED reviso  2835  nuevas actuaciones procesales, en los cuales se determinó con base en las directrices de la guia se determino alertas para evitar el vencimiento en 212 </t>
  </si>
  <si>
    <t>Se constata que la dependencia está implementando el control establecido.
Sin embargo, se le exhorta a realizar un análisis exhaustivo de las causas que podrían generar la materialización del riesgo.
Adicionalmente, se recomienda brindar una descripción más detallada del monitoreo efectuado desde la primera línea de defensa, con el fin de evidenciar que los controles son efectivos y que las acciones de tratamiento contribuyen a fortalecer el funcionamiento de los controles.</t>
  </si>
  <si>
    <t>Gestión de las Tecnologías y la Información</t>
  </si>
  <si>
    <t>Gestionar y administrar los recursos y servicios (humanos, técnicos y tecnológicos) dispuestospor el Ministerio de Justicia y del Derecho, de manera integral, transparente y oportuna, incorporando los aspectos de eficiencia,calidad, usabilidad y escalabilidad, que permitan garantizar la prestación de los servicios de tecnología y suministro deinformación, con óptimos estándares de calidad, a los usuarios y grupos de interés de la entidad, así como, el fortalecimiento dela gestión estratégica, misional, operativa y administrativa del ministerio.</t>
  </si>
  <si>
    <t>Causa 1 el No seguimiento sistemático a los convenios o acuerdos de intercambio de información conforme a la periodicidad y condiciones pactadas..</t>
  </si>
  <si>
    <t xml:space="preserve">interna </t>
  </si>
  <si>
    <t>Generación de decisiones erradas basadas en datos no confiables ocacionadas por los retrasos e inconsistencias en la gestión y actualización periódica de la información.</t>
  </si>
  <si>
    <r>
      <t xml:space="preserve">1.Los profesionales y contratistas de la Subdirección de Gestión de la Información en Justicia, trimestralmente, a fin de verificar el cumplimiento de las condiciones previamente pactadas, realiza seguimiento al convenio o acuerdo de intercambio de información. En caso de encontrar incumplimiento de las condiciones  pactadas en el convenio o acuerdo, el Ministerio debe generar la alerta a la fuente de información y al dueño de la misma, para que esta tome las medidas correspondientes.
</t>
    </r>
    <r>
      <rPr>
        <b/>
        <sz val="11"/>
        <color rgb="FF000000"/>
        <rFont val="Abadi"/>
      </rPr>
      <t xml:space="preserve">
Evidencia: </t>
    </r>
    <r>
      <rPr>
        <sz val="11"/>
        <color rgb="FF000000"/>
        <rFont val="Abadi"/>
      </rPr>
      <t>Informes de seguimiento
Correos u oficios con las alertas en el caso que así lo amerite y respectiva respuestas de la fuente de información ante las alertas generadas.</t>
    </r>
  </si>
  <si>
    <t>Causa 1 el no seguimiento a los convenios de intercambio de información de acuerdo a la periodicidad y las condiciones pactadas. en la minuta.</t>
  </si>
  <si>
    <t>Informes de seguimiento al convenio o acuerdo de intercambio de información. En caso de encontrar incumplimiento de las condiciones  pactadas en el convenio o acuerdo se genera reporte a la fuente de datos.</t>
  </si>
  <si>
    <t>Cada vez que ocurra</t>
  </si>
  <si>
    <t>Subdirección de Gestión de  Información en Justicia.</t>
  </si>
  <si>
    <t>Comunicación Oficial</t>
  </si>
  <si>
    <t>La Subdirección de Gestión de Información en Justicia realizó el seguimiento a los convenios de intercambio de información de acuerdo a la periodicidad y las condiciones pactadas. en la minuta. No se evidenciaron incumplimientos</t>
  </si>
  <si>
    <t>La Subdirección de Gestión de Información en Justicia realizó el seguimiento a los convenios de intercambio de información de acuerdo a la periodicidad y las condiciones pactadas en la minuta. No se evidenciaron incumplimientos</t>
  </si>
  <si>
    <t>Para el presente seguimiento, se evidencia un ajuste en la descripción del riesgo; sin embargo, esta carece de una estructura clara que integre impacto, causa inmediata y causa raíz. Es fundamental que la dependencia realice un análisis profundo de causas, empleando la metodología que considere adecuada, con el fin de identificar correctamente la causa raíz y la causa inmediata del riesgo.
Desde la OCI se recomienda que la dependencia solicite una mesa de trabajo con la OAP para lograr una definición precisa y completa del riesgo.
A partir de las evidencias aportadas, se constata que la dependencia ha implementado los controles establecidos para mitigar las causas identificadas, reconociendo así una adecuada definición de dichos controles.
No obstante, se sugiere mejorar la estructura en la definición del riesgo 3, así como la presentación de las evidencias relacionadas con el riesgo 2.
Adicionalmente, se identifican debilidades en la formulación de las acciones del plan de tratamiento, dado que las acciones actuales coinciden con los controles ya implementados, incumpliendo la finalidad del plan. Es importante recordar que estas acciones deben ser diferentes a las actividades de implementación de controles y estar orientadas a fortalecerlos.
Finalmente, se espera que para el próximo seguimiento se cuente con una definición adecuada del riesgo, que permita realizar una evaluación efectiva del riesgo.</t>
  </si>
  <si>
    <t>Causa 2: la No aplicación consistente de los formatos de inspección y análisis sobre la información recibida de las fuentes externas</t>
  </si>
  <si>
    <t>Generación de decisiones erradas basadas en datos no confiables ocacionadas por el uso de información que no cumple con los atributos de calidad definidos</t>
  </si>
  <si>
    <t>2.El profesional designado de la  Subdirección de Gestión de la Información, al menos una vez al año, para evitar la inadecuada organización, control, estandarización, difusión y conservación de la información, divulgará la aplicación del Formato de inspección y análisis (F-IC-G07-01) tanto para las áreas misionales como para la subdirección. La divulgación se podrá realizar por estos medios: Mailyng, intranet y/o reuniones. 
Adicionalmente se realiza la aplicación del formato de inspección y análisis de acuerdo a lo definido en la guía de verificación de la calidad de la información, cada vez que se reciba una fuente de información.
Evidencia: Socialización y material utilizado.
Formatos de inspección y análisis diligenciado</t>
  </si>
  <si>
    <t>Causa 2: la no aplicación de los formatos de inspección y análisis de las fuentes externas recibidas.</t>
  </si>
  <si>
    <t>Formato de inspección y análisis (F-IC-G07-01) de acuerdo a lo definido en la guía de verificación de la calidad de la información</t>
  </si>
  <si>
    <t>Corrección del reporte.</t>
  </si>
  <si>
    <t>La Subdirección de Gestión de Información en Justicia realizó la aplicación de los formatos de inspección y análisis de las fuentes externas recibidas.</t>
  </si>
  <si>
    <t>La Subdirección de Gestión de Información en Justicia realizó la aplicación de los formatos de inspección y análisis de las fuentes externas recibidas. 
Adicionalmente se realizó socialización de la aplicación de evaluación de calidad de los datos el dia 4 de julio.</t>
  </si>
  <si>
    <t>Causa 3: el deficiente seguimiento al Plan de Trabajo, diseño y actualización Tableros de Control</t>
  </si>
  <si>
    <t>3.La Subdirección de Gestión de la Información, mensualmente, realiza un seguimiento al PLAN DE TRABAJO DISEÑO Y ACTUALIZACIÓN TABLEROS DE CONTROL para asegurar la frecuencia de actualización de la información y el tablero de control.
Evidencia: PLAN DE TRABAJO DISEÑO Y ACTUALIZACIÓN TABLEROS DE CONTROL</t>
  </si>
  <si>
    <t>Causa 3:el no seguimiento al PLAN DE TRABAJO DISEÑO Y ACTUALIZACIÓN TABLEROS DE CONTROL para asegurar la frecuencia de actualización de la información y el tablero de control.</t>
  </si>
  <si>
    <t>Seguimiento al PLAN DE TRABAJO DISEÑO Y ACTUALIZACIÓN TABLEROS DE CONTROL para asegurar la frecuencia de actualización de la información y el tablero de control.</t>
  </si>
  <si>
    <t>La Subdirección de Gestión de la Información en justicia realizó el seguimiento al PLAN DE TRABAJO DISEÑO Y ACTUALIZACIÓN TABLEROS DE CONTROL para asegurar la frecuencia de actualización de la información y el tablero de control.</t>
  </si>
  <si>
    <t xml:space="preserve">Posibilidad de afectacion reputacional por la indisponibilidad de un bien o servicio  tecnologico, generando demoras en la gestión institucional debido a  no tener los recursos humanos y herramientas necesarioas para la ejecucion de los mantenimientos y  la aplicabilidad del plan de recuperacion de desastres (DRP). </t>
  </si>
  <si>
    <t>Riesgo de Tecnología</t>
  </si>
  <si>
    <t>Causa 1:La falta de asignacion de recursos financieros en el PAA para la gestión de mantenimiento</t>
  </si>
  <si>
    <t>Indisponibilidad de un bien o servicio tecnologico</t>
  </si>
  <si>
    <r>
      <t xml:space="preserve">El profesional o contratista designado por la direccion de tecnologias, realiza seguimiento mensual a las actividades del PAA específicamente en los ítems de los recursos de gestión de mantenimiento.
</t>
    </r>
    <r>
      <rPr>
        <b/>
        <sz val="11"/>
        <color rgb="FF000000"/>
        <rFont val="Calibri"/>
        <scheme val="minor"/>
      </rPr>
      <t>Evidencia</t>
    </r>
    <r>
      <rPr>
        <sz val="11"/>
        <color rgb="FF000000"/>
        <rFont val="Calibri"/>
        <scheme val="minor"/>
      </rPr>
      <t>: Matriz de seguimiento a las líneas del PAA- Matriz de seguimiento a la ejecución a los contratos.</t>
    </r>
  </si>
  <si>
    <t>Presentar la propuesta del plan anual de adquisiciones  con la linea del contrato solicitado</t>
  </si>
  <si>
    <t>Dirección de Tecnologías y Gestión de la Ifnormación, y las dos Subdirecciones según sea el caso.</t>
  </si>
  <si>
    <t>propuesta del plan anual de adquisiciones  con la linea del contrato solicitado</t>
  </si>
  <si>
    <t>Se elabora una matriz donde se contrastan los contratos vigentes del año 2025 PAA y el plan de mantenimiento Anual, así se consolida el documento que contiene los planes vigentes a nivel de mantenimiento de la entidad.</t>
  </si>
  <si>
    <t xml:space="preserve">Para este cuatrimestre no se a materialido el riesgo, se adjunta la matriz de seguimiento. </t>
  </si>
  <si>
    <t>Para el presente seguimiento, se evidencia que la dependencia ha realizado una actualización en la definición del riesgo. No obstante, persisten debilidades en la caracterización del impacto, el cual aún no se encuentra claramente definido. Es importante recordar que el impacto debe reflejar la consecuencia más significativa que podría enfrentar la entidad en caso de la materialización del riesgo.
Adicionalmente, si bien se observa la inclusión de una nueva causa, es necesario que la dependencia lleve a cabo un análisis más riguroso y profundo que permita identificar todas las causas que podrían dar origen al riesgo.
En cuanto a los controles establecidos, se identifican falencias en su estructuración, lo que dificulta su adecuada implementación y seguimiento. Se insta a la dependencia a reformular los controles incluyendo una descripción clara que contemple su periodicidad, finalidad, responsables, acciones ante desviaciones y demás aspectos clave para garantizar su efectividad.
Asimismo, es fundamental que la dependencia aporte las evidencias que demuestren la implementación de los controles definidos, con el fin de permitir su verificación y evaluación por parte de la OCI.
Finalmente, se reitera la necesidad de que la dependencia actualice integralmente el riesgo, realizando un análisis detallado de sus causas y controles, considerando que dicho riesgo se ha materializado en dos ocasiones durante las vigencias 2024 y 2025, sin que hasta la fecha se haya implementado una acción de mejora ni actualizado el mapa de riesgos. En este sentido, se recomienda solicitar una mesa de trabajo con la OAP para abordar esta situación de forma conjunta y fortalecer la gestión del riesgo.</t>
  </si>
  <si>
    <t>Causa 2: La no ejecucion de los mantenimientos contratados para la red de infraestructura</t>
  </si>
  <si>
    <r>
      <t xml:space="preserve">El profesional designados para llevar a cabo los mantenimientos de bienes o servicios de tecnologia, deben registrar todos los contratos legalizados y ejecutados durante la vigencia, llevando un registro mensual (La periodicidad de ejecucion de los mantenimientos depende de la contratacion o requerimiento del proveedor).
</t>
    </r>
    <r>
      <rPr>
        <b/>
        <sz val="11"/>
        <color rgb="FF000000"/>
        <rFont val="Calibri"/>
        <scheme val="minor"/>
      </rPr>
      <t>Evidencia</t>
    </r>
    <r>
      <rPr>
        <sz val="11"/>
        <color rgb="FF000000"/>
        <rFont val="Calibri"/>
        <scheme val="minor"/>
      </rPr>
      <t>: Matriz con el seguimiento a los mantenimientos contratados y ejecutados.</t>
    </r>
  </si>
  <si>
    <t>Aplicar las polizas de la contratacion del bien o servicio, en el caso de incumplimiento por parte del proveedor en los mantenimientos proyectados.</t>
  </si>
  <si>
    <t>polizas de la contratacion</t>
  </si>
  <si>
    <t>Durante este periodo el riesgo no se ha materializado. se adjunta la matrizde seguimiento a los mantenimientos contratados, actualizada</t>
  </si>
  <si>
    <t xml:space="preserve">Causa 3: La no activacion del plan de contingencia y/o recuperacion de desastres en respuesta a la indisponibilidad de un bien o servicio tecnologico.
</t>
  </si>
  <si>
    <t xml:space="preserve">Interrupcion de servicios criticos , perdida o corrupcion de datos y retrazos en la atencion de usuarios
</t>
  </si>
  <si>
    <r>
      <t xml:space="preserve">El profesional designado como supervisor  y los que hacen parte del equipo de trabajo cada vez que se presente un evento contingente (falla, indisponibilidad, intermitencia) de los servicios tecnológicos que soportan al Ministerio, evalúa el evento y determina si activa el plan de Contingencia y/o recuperacion de desastrees del componente afectado.  (Este control se activa en el caso en que se presente un evento contingente)
</t>
    </r>
    <r>
      <rPr>
        <b/>
        <sz val="11"/>
        <color rgb="FF000000"/>
        <rFont val="Abadi"/>
      </rPr>
      <t>Evidencia</t>
    </r>
    <r>
      <rPr>
        <sz val="11"/>
        <color rgb="FF000000"/>
        <rFont val="Abadi"/>
      </rPr>
      <t>: Documentación de activación de contingencia por parte del líder de Plan de recuperación de Desastres- DRP.</t>
    </r>
  </si>
  <si>
    <t xml:space="preserve">La no activacion del plan de contingencia y/o recuperacion de desastres en respuesta a la indisponibilidad de un bien o servicio tecnologico.
</t>
  </si>
  <si>
    <t xml:space="preserve">Solicitar informe diagnostico del evento al proveedor y generar un plan de mejora por parte de la DTGIJ. </t>
  </si>
  <si>
    <t>STSI y SGIJ</t>
  </si>
  <si>
    <t>Informe diagnostico y evidencia a la atencion del plan de mejora</t>
  </si>
  <si>
    <t xml:space="preserve">Durante el segundo cuatrimestre no se presentaron eventos contingentes; por ende, no se adjuntan evidencias al no materializarse el riesgo.
</t>
  </si>
  <si>
    <t>Causa 4: La no actualizacion del plan de contingencia  y/o recuperacion teniendo en cuenta el dinamismo de TI</t>
  </si>
  <si>
    <t>Incumplimiento normativo por la desactualizacion del plan de recuperacion de desastres y/o plan de contingencia</t>
  </si>
  <si>
    <r>
      <t xml:space="preserve">El profesional o contratista designado como líder de Plan de recuperación de Desastres- DRP en atencion al dinamismo de TI ,anualmente o deacuerdo con la necesidad genera actualizacion de los escenarios dentro del plan de contingencia y/o plan de recuperacion. 
</t>
    </r>
    <r>
      <rPr>
        <b/>
        <sz val="11"/>
        <color rgb="FF000000"/>
        <rFont val="Abadi"/>
      </rPr>
      <t>Evidencia</t>
    </r>
    <r>
      <rPr>
        <sz val="11"/>
        <color rgb="FF000000"/>
        <rFont val="Abadi"/>
      </rPr>
      <t xml:space="preserve">: Planes actualizados. </t>
    </r>
  </si>
  <si>
    <t>La no actualizacion del plan de contingencia  y/o recuperacion teniendo en cuenta el dinamismo de TI</t>
  </si>
  <si>
    <t xml:space="preserve">Generar un plan de mejora para el seguimieno a la actualizacion de los documentos. </t>
  </si>
  <si>
    <t>Evidencia de la  atencion del plan de mejora , y el documento actualizado</t>
  </si>
  <si>
    <t>Durante el segundo cuatrimestre no se presentaron eventos contingentes; que puedan ser insumos para actualizar el DRP que se genera el documento final al finalizar el año.</t>
  </si>
  <si>
    <t>Direccionamiento y Planeación Institucional</t>
  </si>
  <si>
    <t xml:space="preserve">Orientar la gestion de la entidad y del sector para que las acciones se deriven de una planeación eficiente y articulada que optimice el uso de los recursos en el logro de los objetivos institucionales. </t>
  </si>
  <si>
    <t>Posibilidad de afectación reputacional por incumplimiento de los compromisos institucionales debido a la formulación de los planes y proyectos de inversión sin atender los lineamientos y  procedimientos establecidos en el proceso de Direccionamiento y Planeación Institucional</t>
  </si>
  <si>
    <t>Causa 1: falta de verificación de los compromisos institucionales para la formulación de los proyectos de inversión por parte de los formuladores.</t>
  </si>
  <si>
    <t>Se afecta la imagen de la entidad con algunos usuarios de relevancia, frente al cumplimiento de los compromisos institucionales en los proyectos de inversión.</t>
  </si>
  <si>
    <t xml:space="preserve">El profesional designado del Grupo de Gestión de Proyectos y presupuesto deberá identificar los compromisos institucionales que son financiados mediante proyectos de inversión. Esta información se consolidará en un documento Excel denominado “Inventario de Compromisos Institucionales”, el cual deberá ser actualizado periódicamente conforme a las modificaciones reportadas por las dependencias. El objetivo de esta actividad es mantener actualizada la herramienta del inventario, de manera que sirva como insumo clave en los procesos de formulación de proyectos de inversión.
Evidencias: Inventario de los compromisos institucionales.
Frecuencia:  Cada vez que se presenten modificaciones al inventario. </t>
  </si>
  <si>
    <t>Para el seguimiento del primer cuatrimestre de 2025, no se presenta seguimiento al control 1, debido a que es un riesgo y control nuevos y se dará inicio a su implementación en este periodo, esto en el marco de lo establecido en la mesa de trabajo realizada el 29 de abril de 2025 y como consta en el acta aportada como soporte.
El correspondiente seguimiento será reportado a partir del segundo cuatrimestre de 2025.</t>
  </si>
  <si>
    <t>Se realizó la revisión y actualización del inventario de compromisos institucionales. En este proceso se incluyeron las fuentes de financiación identificadas por el Grupo de Gestión de Proyectos y Presupuesto.
Evidencia: Inventario de Compromisos.</t>
  </si>
  <si>
    <t>Para el presente seguimiento, se evidencia que la dependencia realizó una actualización en la definición del riesgo, así como en la identificación de sus causas y controles.
No obstante, se recomienda a la dependencia revisar y validar la pertinencia de los controles formulados, ya que estos no guardan una relación directa con el riesgo identificado. Específicamente, el riesgo hace referencia a la formulación de los proyectos de inversión, mientras que los controles están enfocados en el PAI y el PEI. Si bien estos planes están vinculados a los proyectos de inversión en términos de recursos, es fundamental que se incluyan controles que estén directamente asociados a los procesos de formulación y ejecución de los proyectos de inversión, de modo que se logre mitigar efectivamente la materialización del riesgo.
Finalmente, se reitera la recomendación realizada por la OCI respecto a la racionalización de los riesgos que presenten similitudes en su naturaleza, con el fin de unificarlos y desglosar los controles de acuerdo con las diferentes actividades del proceso. Esto permitirá una gestión más eficiente y focalizada del riesgo.</t>
  </si>
  <si>
    <t xml:space="preserve">Causa 2: Inadecuada aplicación de los lineamientos y procedimientos para la formulación de los planes institucionales </t>
  </si>
  <si>
    <t>Planes sin la completitud de los compromisos institucionales generando informes incompletos y desintegrando fuentes de información en el Ministerio.</t>
  </si>
  <si>
    <t>El Coordinador y/o profesional designado del Grupo de Planeación Estratégica en el proceso de formulación del Plan Estratégico Institucional y el Plan de Acción Institucional verifica que sean coherentes con los compromisos institucionales, el PND, los objetivos estratégicos, la misionalidad de la entidad y atienda los lineamientos y procedimientos del proceso de Direccionamiento y Planeación Institucional, con el objetivo de formular planes acordes a los lineamientos institucionales. 
Evidencias: Matriz de formulación consolidada de PAI-PEI; Matriz de revisión de las solicitudes de modificación a PAI- PEI.
Frecuencia:  Cada vez que se formule o modifique el plan.</t>
  </si>
  <si>
    <t xml:space="preserve">En el proceso de formulación del PEI y del PAI 2025 que tuvo lugar en el último cuatrimestre de 2024 el Coordinador del Grupo de Planeación Estratégica verificó que dichos planes fueran coherentes con el inventario de compromisos institucionales, el PND, los objetivos estratégicos, así como con la misionalidad de la entidad. Se aporta como evidencia los correos electrónicos en los que se notifica a las dependencias que debían realizar ajustes. Igualmente se aporta el correo de fecha 29 de enero de 2025 en el que se remite a los directores de las dependencias, el PEI y PAI 2025 para su revisión final previo a la aprobación en el CIGD. </t>
  </si>
  <si>
    <t>Para el seguimiento a riesgos de gestión del segundo cuatrimestre de 2025, no se tiene previsto formulación del Plan de Acción Institucional - PAI 2026, por cuanto esta se realizará en el tercer cuatrimestre de la vigencia. Respecto al Plan Estratégico Institucional -PEI está formulado y aprobado hasta la vigencia 2026.
En el segundo cuatrimestre se presentaron 37 solicitudes de modificaciones al PAI por parte de cinco dependencias, para lo cual profesional designado del Grupo de Planeación Estratégica verificó que fuesen coherentes con los compromisos institucionales, el PND, los objetivos estratégicos, la misionalidad de la entidad y atienden los lineamientos y procedimientos del proceso de Direccionamiento y Planeación Institucional
Evidencias: Matriz de revisión de las solicitudes de modificación a PAI- PEI.</t>
  </si>
  <si>
    <t xml:space="preserve">El Jefe de la Oficina de Planeación presenta el Plan Estratégico Institucional y el Plan de Acción Institucional al Comité Institucional de Gestión y Desempeño para su aprobación, con el objetivo de formular planes acordes a los lineamientos institucionales. 
Evidencias: Acta de comité
Frecuencia:  Cada vez que se requiera aprobar el plan por el Comité Institucional de Gestión y Desempeño. </t>
  </si>
  <si>
    <t>El Jefe de la Oficina de Planeación presentó el Plan Estratégico Institucional y el Plan de Acción Institucional al Comité Institucional de Gestión y Desempeño para su aprobación. Se presenta como evidencia los correos con los que se remite a los miembros del CIGD los documentos del PEI y PAI para su revisión previa al CIGD y las  Actas del CIGD del 30 de enero de 2025 y del 28 de febrero de 2025, las cuales se encuentran disponibles en https://www.minjusticia.gov.co/ministerio-co/planeacion-gestion-control/modelo-integrado-planeacion-contr</t>
  </si>
  <si>
    <t>Para el seguimiento a riesgos de gestión del segundo cuatrimestre de 2025, no se tiene previsto formulación del Plan de Acción Institucional - PAI 2026, por cuanto esta se realizará en el tercer cuatrimestre de la vigencia. Respecto al Plan Estratégico Institucional -PEI está formulado y aprobado hasta la vigencia 2026.
El Jefe de la Oficina de Planeación presenta el Plan Estratégico Institucional y el Plan de Acción Institucional al Comité Institucional de Gestión y Desempeño para su aprobación, con el objetivo de formular planes acordes a los lineamientos institucionales. 
Evidencias: Acta de comité sesión 6 CIGD de fecha 6 de junio de 2025</t>
  </si>
  <si>
    <t>Orientar la gestion de la entidad y del sector para que las acciones se deriven de una planeación eficiente y articulada que optimice el uso de los recursos en el logro de los objetivos institucionales</t>
  </si>
  <si>
    <t>Posibilidad de afectación reputacional por el incumplimiento de las metas institucionales definidas en los planes y proyectos de inversión debido a deficiencias en la gestión de las dependencias o seguimiento de los mismos.</t>
  </si>
  <si>
    <t>Causa 1: Incumplimiento de las metas de los Proyectos de Inversión</t>
  </si>
  <si>
    <t>Se afecta la imagen de la entidad con algunos usuarios de relevancia frente al cumplimiento de las metas de los Proyectos de Inversión.</t>
  </si>
  <si>
    <t>El profesional designado del Grupo de Gestión de Proyectos y presupuesto deberá elaborar, de manera trimestral, un informe de seguimiento a los proyectos de inversión, el cual será publicado en la página web del Ministerio de Justicia y del Derecho (MJD). Para la elaboración del informe, se tomará como insumo la información de avance registrada en el sistema dispuesto por el Departamento Nacional de Planeación (DNP), con el objetivo de evidenciar el cumplimiento de las metas establecidas en los proyectos de inversión.
Evidencia: Informe de seguimiento a los proyectos de inversión.</t>
  </si>
  <si>
    <t>Se adelantó el proceso de seguimiento a los proyectos de inversión en ejecución, elaborando el informe de seguimiento con corte a Diciembre 31 de 2024, considerando que el cierre financiero anual fue el 20 de Enero de 2025, mencionado informe fue públicado en la pagina WEB de MJD.
Evidencias: 
1. INFORME DE  SEGUIMIENTO A  LOS PROYECTOS  DE INVERSIÓN - PIIP 2024
2. Publicación del informe en la página web en el siguiente enlace:
https://www.minjusticia.gov.co/ministerio/Documents/programas-y-proyectos-en-ejecucion/Informe-word-seguimiento-PIIP-Dic-2024-(1).pdf</t>
  </si>
  <si>
    <t>Se adelantó el proceso de seguimiento a los proyectos de inversión en ejecución, elaborando los informes correspondientes a los meses de marzo y junio de 2025.
Dichos informes fueron publicados en la página web del Ministerio de Justicia y del Derecho (MJD).
Evidencias: 
1. Informe de seguimiento proyectos de inversion - PIIP marxo 2025
2. Informe de seguimiento proyectos de inversion - PIIP junio 2025
3. Publicación del informe en la página web en el siguiente enlace:
https://www.minjusticia.gov.co/ministerio/Documents/programas-y-proyectos-en-ejecucion/Informe-de-seguimiento-proyectos-de-inversion-junio-2025.pdf</t>
  </si>
  <si>
    <t>Se evidencia que la dependencia ha actualizado la definición del riesgo, así como sus causas y controles. Igualmente, a través de las evidencias aportadas, se constata la implementación de dichos controles.
No obstante, se recomienda a la dependencia fortalecer la estructuración de los controles, de manera que estos sean formulados con mayor claridad. Es fundamental que cada control especifique su objetivo, la periodicidad con la que se debe ejecutar, y las acciones a seguir en caso de presentarse desviaciones. Esta mejora permitirá una implementación más precisa y evitará ambigüedades en su interpretación y aplicación.</t>
  </si>
  <si>
    <t>Causa 2: Retrasos en la ejecución presupuestal.</t>
  </si>
  <si>
    <t>Se afecta la imagen de la entidad con algunos usuarios de relevancia frente a la ejecución presupuestal de los proyectos de inversión.</t>
  </si>
  <si>
    <t>El profesional designado del Grupo de Gestión de Proyectos y presupuesto deberá elaborar mensualmente un informe de seguimiento a la ejecución presupuestal, con el objetivo de informar sobre el estado de la ejecución y generar recomendaciones o alertas. Este informe se constituye como una herramienta de monitoreo y gestión, y su contenido se basa en la información disponible sobre la ejecución presupuestal.
Evidencia: Informe de seguimiento a la ejecución presupuestal.</t>
  </si>
  <si>
    <t>Durante el primer trimestre 2025 se realizaron tres (3) seguimientos a la ejecución presupuestal y se realizarón los correspondientes informes.
Evidencias:
1. Informe de Seguimiento a la ejecución presupuestal Enero 2025
2. Informe de Seguimiento a la ejecución presupuestal Febrero 2025
3. Informe de Seguimiento a la ejecución presupuestal Marzo 2025</t>
  </si>
  <si>
    <t xml:space="preserve">Durante el segundo trimestre 2025 se realizaron tres (4) seguimientos a la ejecución presupuestal y se realizarón los correspondientes informes.
Evidencias:
1. Informe de Seguimiento a la ejecución presupuestal abril 2025
2. Informe de Seguimiento a la ejecución presupuestal Mayo 2025
3. Informe de Seguimiento a la ejecución presupuestal Junio 2025
4. Informe de Seguimiento a la ejecución presupuestal Julio 2025
</t>
  </si>
  <si>
    <t xml:space="preserve">Causa 3: Defiencias en la  retroalimentación del seguimiento a los planes. </t>
  </si>
  <si>
    <t xml:space="preserve">Seguimientos con información insuficiente para la toma de decisiones por parte de las dependencias ejecutoras. </t>
  </si>
  <si>
    <t>El Coordinador y/o profesional designado del Grupo de Planeación Estratégica en el proceso de Planeación Estratégica realiza seguimiento al Plan Estratégico Institucional y al Plan de Acción Institucional y presenta a las dependencias ejecutoras y al Comité Institucional de Gestión y Desempeño el estado de avance o retraso en los mismos con el objetivo de evidenciar alertas en el cumplimiento de los planes. 
Evidencia: Comunicación escrita o correo electrónico y Acta de comité.
Frecuencia: Cada vez que se realice seguimiento y se requiera.</t>
  </si>
  <si>
    <t xml:space="preserve">El Coordinador del Grupo de Planeación Estratégica presentó el informe de seguimiento Plan Estratégico Institucional y el Plan de Acción Institucional 2024 a las dependencias ejecutoras y al Comité Institucional de Gestión y Desempeño,  con el estado de avance o retraso. Se presenta como evidencia el correo que se remitió a los miembros del CIGD para su revisión previa y el Acta del CIGD del 28 de febrero de 2025, la cual se encuentran disponible en https://www.minjusticia.gov.co/ministerio-co/planeacion-gestion-control/modelo-integrado-planeacion-control </t>
  </si>
  <si>
    <t>El Coordinador del Grupo de Planeación Estratégica presentó el informe de seguimiento al Plan de Acción Institucional 2025 del primer y segundo trimeste de la vigencia, a las dependencias ejecutoras y al Comité Institucional de Gestión y Desempeño,  con el estado de avance o retraso. Se presenta como evidencia los correos de citación que se remitieron a los miembros del CIGD para su revisión previa y el Acta de la quinta sesión del CIGD del 29 de mayo de 2025, la cual se encuentra disponible en https://www.minjusticia.gov.co/ministerio-co/planeacion-gestion-control/modelo-integrado-planeacion-control 
 y el Acta de la octava sesión del CIGD del 28 de agosto de 2025, la cual se encuentra en proceso de elaboración y firmas para posterior publicación en el mismo enlace mencionado.
Referente al PEI, este seguimiento es de carácter anual y está programado para realizarse en el tercer cuatrimestre de la vigencia.</t>
  </si>
  <si>
    <t>Causa 4: Insuficiente gestión de la dependencia ejecutora de la planeación inicial o de los resultados obtenidos del seguimiento.</t>
  </si>
  <si>
    <t>Incumplimiento de las metas y compromisos institucionales contenidos en los planes.</t>
  </si>
  <si>
    <t xml:space="preserve">El líder de la dependencia responsable del plan presenta al Comité Institucional de Gestión y Desempeño el avance logrado respecto de las alertas,  presentadas por la OAP en el CIGD previo, con el objetivo de verificar el cumplimiento de los compromisos adquiridos en los CIGD frente a las alertas generadas.
Evidencia: Acta de Comité
Frecuencia: Cada vez que se realice seguimiento y se requiera. </t>
  </si>
  <si>
    <t>Nota: Este es un control nuevo, tal como consta en el Acta de la mesa de trabajo realizada el 29 de abril de 2025 y de acuerdo con las indicaciones emitdas por el GCTO los controles nuevos, que hayan sido formulados en 2025, deberán ser reportados a partir del segundo cuatrimestre.</t>
  </si>
  <si>
    <t>Conforme a las evidencias y avances de ejecución del PAI para el primer trimestre, cargadas por las dependencias en la Plataforma DARUMA, la coordinadora del GPE, presentó el cumplimiento al 100% de las metas planeadas, información que consta en el Acta de la sesión quinta del CIGD del 29 de mayo de 2025  y se alertó a la DJF por sobrecumplimiento en 3 productos; como respuesta a la alerta la DJF solicito el ajuste de metas de dichos productos para mejorar su planeación en los trimestres faltantes. Respecto del segundo trimestre, se presentaron los avances del PAI y se alertó a las dependencias DJF y DJT que tuvieron porcentajes de cumplimiento inferiores al 100%, como consta en el Acta del 8 CIGD del 28 de agosto de 2025, la cual se encuentra en proceso de elaboración y firmas.</t>
  </si>
  <si>
    <t>Mejora Integral de la Gestión Institucional</t>
  </si>
  <si>
    <t>Coordinar y administrar la implementación del Sistema Integrado de Gestión del Ministerio de Justicia y de Derecho, con el fin de asegurar su mejora continua, conveniencia, eficacia y eficiencia conforme con los estándares adoptados.</t>
  </si>
  <si>
    <t xml:space="preserve">Posibilidad de afectación reputacional por incumplimiento en los reportes de ley y/o requisitos de la norma de calidad, debido a la no apropiación de las normativa y/o desarticulación del Sistema Integrado de Gestión  </t>
  </si>
  <si>
    <t>Incumplimiento en los reportes de ley y/o requisitos de la norma de calidad</t>
  </si>
  <si>
    <t xml:space="preserve">Llamados de atención y hallazgos por incumplimiento </t>
  </si>
  <si>
    <t xml:space="preserve">
El Coordinador del Grupo de Calidad y Transformación Organizacional de acuerdo con las fechas establecidas en cada proceso, solicita  a los enlaces de calidad de cada dependencia la información relacionada con los procedimientos y temáticas, con el fin de consolidar insumos para el seguimiento de los componentes del Plan de Mejoramiento, Producto No Conforme, Plan de Acción, Indicadores, Trámites y Gestión de Riesgos del MJD; dicha información se utiliza para asesorar y acompañar a las dependencias en la adecuada ejecución de los procesos y en el cumplimiento de los objetivos institucionales. La evidencia del control son los correos electrónicos remitidos con las solicitudes de información.
</t>
  </si>
  <si>
    <t>Algunas Veces</t>
  </si>
  <si>
    <t>Implementar una matriz con el cronograma de actividades de la OAP–GCTO, orientada a realizar seguimientos, con el fin de mitigar riesgos de incumplimiento en los reportes legales y en las disposiciones de la norma de calidad.</t>
  </si>
  <si>
    <t xml:space="preserve">una vez al año </t>
  </si>
  <si>
    <t xml:space="preserve">Jefe de la Oficina Asesora de Planeación </t>
  </si>
  <si>
    <t>Matriz elaborada</t>
  </si>
  <si>
    <t>Nota: Este es un control nuevo y de acuerdo con las indicaciones emitdas por el GCTO los controles nuevos, que hayan sido formulados en 2025, deberán ser reportados a partir del segundo cuatrimestre.</t>
  </si>
  <si>
    <t xml:space="preserve">Seguimiento segundo cuatrimestre 2024 
1.	De acuerdo con las observaciones de la OCI, se realizó modificación y adición de los controles y plan de tratamiento.
2.	De acuerdo con las fechas de los procedimientos se han realizado las solicitudes de información de los PM, Tramites, PNC, PAI, Gestión del Riesgo, Indicadores, a los enlaces de calidad, y se han realizado los correspondientes seguimientos.
3.	Se realizó diagnóstico de los documentos del SIG y seguimiento mediante matriz de documentos actualizados del SIG
4.	Se ha efectuado seguimientos del cumplimiento del cronograma de las actividades del Plan de tratamiento.
</t>
  </si>
  <si>
    <t>Se evidencia que la dependencia ha redefinido el riesgo, así como identificado sus causas y formulado los respectivos controles.
Sin embargo, se insta a la dependencia a establecer un control específico para mitigar la causa 2, recordando que cada causa debe contar con un control asociado. Asimismo, se recomienda mejorar la estructura del control actualmente formulado, con el fin de evitar ambigüedades en su implementación. Es fundamental que dicho control incluya todos los elementos necesarios: propósito, responsables, periodicidad, y acciones ante posibles desviaciones.</t>
  </si>
  <si>
    <t xml:space="preserve">Desarticulación del Sistema Integrado de Gestión </t>
  </si>
  <si>
    <t>Retrazos en la solictud, entrega o reporte de la información</t>
  </si>
  <si>
    <t>El profesional del Grupo de Calidad y Transformación Organizacional (GCTO) realiza, al menos una vez al año, un diagnóstico integral de los documentos del Sistema Integrado de Gestión (SIG), en el cual se registran y consolidan las actualizaciones efectuadas; adicionalmente, cada vez que se adiciona o modifica un documento, se diligencia la matriz de seguimiento correspondiente, garantizando el control y la trazabilidad de los documentos actualizados. La evidencia del control corresponde a los diagnósticos de cada proceso con sus respectivos soportes y a la Matriz de Seguimiento de Actualización de Documentos del SIG, debidamente diligenciada.</t>
  </si>
  <si>
    <t>Efectuar seguimiento y control sobre la matriz, orientada a evaluar la efectividad del cronograma de actividades, garantizar la trazabilidad de las actividades e incumplimientos en los reportes legales y en los requisitos de la norma de calidad.</t>
  </si>
  <si>
    <t xml:space="preserve">cuatrimestral </t>
  </si>
  <si>
    <t>Seguimiento en la matriz</t>
  </si>
  <si>
    <t>Gestión de la Información y las comunicaciones</t>
  </si>
  <si>
    <t>Proveer información oportuna, confiable, veraz y accequible a públicos internos y externos del Ministerio de Justicia y del Derecho.</t>
  </si>
  <si>
    <t>Posibilidad de afectación reputacional por solicitudes de difusión de información de manera extemporánea sobre los planes, proyectos, programas y servicios que ofrece la Entidad, debido al desconocimiento por parte de las dependencias de los lineamientos establecidos por la Oficina de Prensa y Comunicaciones.</t>
  </si>
  <si>
    <t>Riesgo de Imagen</t>
  </si>
  <si>
    <t>5. Afianzar una gestión institucional innovadora y ética, soportada en el desarrollo humano y la participación ciudadana.</t>
  </si>
  <si>
    <t>La información de las dependencias no se entrega oportunamente a la OPC para su divulgación.</t>
  </si>
  <si>
    <t>Pérdida de confianza de los grupos de valor generando desinterés en la participación de la gestión de la Entidad.</t>
  </si>
  <si>
    <r>
      <t xml:space="preserve">El profesional de la Oficina de Prensa y Comunicaciones, cada mes en lo referente a la realización de piezas comunicacionales, remite el formulario de solicitudes a las dependencias, el cual establece el tiempo de elaboración, edición y publicación.
</t>
    </r>
    <r>
      <rPr>
        <b/>
        <sz val="11"/>
        <color theme="1"/>
        <rFont val="Abadi"/>
      </rPr>
      <t xml:space="preserve">
Evidencia: </t>
    </r>
    <r>
      <rPr>
        <sz val="11"/>
        <color theme="1"/>
        <rFont val="Abadi"/>
      </rPr>
      <t>Excell de registro y control de las solicitudes de las dependencias.</t>
    </r>
  </si>
  <si>
    <t>La OPC trabajó conjuntamente con la OAP en el ajuste de la descripción del riesgo e identificó las causas inmediatas en su estructura. Para ello utilizó la metodología de los "5 porqués". Las dos dependencias coincidieron en que el riesgo quedó bien establecido con la ejecución de los controles.
Este año, la OPC fortaleció el control establecido para mitigar la materialización del riesgo y para este primer trimestre no se ha materializado. No se presentaron PQRSDF por información confusa y con las dependencias no ha habido rectificaciones de fondo con los insumos proporcionados en sus solicitudes.   
Evidencias: 
-Pantallazo de la grabación de teams de la mesa de trabajo desarrollada entre la OAP y la OPC.
-Excell de registro de las solicitudes de las dependencias.
-Control de las solicitudes de las depedencias.
-Trazabilidad de algunas solicitudes que contengan ajustes a la información enviada por las dependencias.
-Seguimiento PQRSDF enero-marzo 2025.</t>
  </si>
  <si>
    <r>
      <t xml:space="preserve">El riesgo no se materializó.
Con el objetivo de subsanar las debilidades señaladas por la OCI en la última revisión del riesgo de la Oficina de Prensa y Comunicaciones (OPC), la OAP y la OPC se reunieron en mesa de trabajo con el siguiente resultado:
1.	Se revisó el análisis de causa y las consecuencias y se hicieron los ajustes que aparecen en color azul.
2.	Se ajustó el control y la causa que ataca. (color azul)
3.	Se le puso periodicidad a la descripción del control (color azul).
4.	No se ajustó el riesgo.
</t>
    </r>
    <r>
      <rPr>
        <b/>
        <sz val="11"/>
        <color theme="1"/>
        <rFont val="Calibri"/>
        <family val="2"/>
        <scheme val="minor"/>
      </rPr>
      <t xml:space="preserve">Archivo adjunto: 1. </t>
    </r>
    <r>
      <rPr>
        <sz val="11"/>
        <color theme="1"/>
        <rFont val="Calibri"/>
        <family val="2"/>
        <scheme val="minor"/>
      </rPr>
      <t xml:space="preserve">Mesa de trabajo sobre riesgos (Observaciones de informe de la OCI). 
(1 de septiembre de 2025).
</t>
    </r>
    <r>
      <rPr>
        <b/>
        <sz val="11"/>
        <color theme="1"/>
        <rFont val="Calibri"/>
        <family val="2"/>
        <scheme val="minor"/>
      </rPr>
      <t xml:space="preserve">Evidencias:
</t>
    </r>
    <r>
      <rPr>
        <sz val="11"/>
        <color theme="1"/>
        <rFont val="Calibri"/>
        <family val="2"/>
        <scheme val="minor"/>
      </rPr>
      <t xml:space="preserve">
</t>
    </r>
    <r>
      <rPr>
        <b/>
        <sz val="11"/>
        <color theme="1"/>
        <rFont val="Calibri"/>
        <family val="2"/>
        <scheme val="minor"/>
      </rPr>
      <t>1.</t>
    </r>
    <r>
      <rPr>
        <sz val="11"/>
        <color theme="1"/>
        <rFont val="Calibri"/>
        <family val="2"/>
        <scheme val="minor"/>
      </rPr>
      <t xml:space="preserve"> Excell de registro y control de las solicitudes de las dependencias.
</t>
    </r>
    <r>
      <rPr>
        <b/>
        <sz val="11"/>
        <color theme="1"/>
        <rFont val="Calibri"/>
        <family val="2"/>
        <scheme val="minor"/>
      </rPr>
      <t>2.</t>
    </r>
    <r>
      <rPr>
        <sz val="11"/>
        <color theme="1"/>
        <rFont val="Calibri"/>
        <family val="2"/>
        <scheme val="minor"/>
      </rPr>
      <t xml:space="preserve"> Trazabilidad de algunas solicitudes que contengan ajustes a la información enviada por las dependencias. 
Evidencias: 
1. </t>
    </r>
  </si>
  <si>
    <t>Se evidencia que la dependencia ha realizado la actualización de la definición del riesgo. No obstante, aún es necesario fortalecer su estructura, incorporando de manera clara el impacto, la causa inmediata y la causa raíz.
Asimismo, se observa que la formulación de los controles carece de una estructura adecuada que permita abordar eficazmente las causas identificadas. Se insta a la dependencia a revisar y rediseñar los controles establecidos, ya que no se evidencia su implementación con una periodicidad definida por parte de los responsables del riesgo, lo cual sugiere que los controles están mal estructurados y no están contribuyendo de manera efectiva a la mitigación del riesgo.
No obstante, a través de los documentos aportados se constata un avance significativo en la implementación de los controles, lo cual representa un progreso en la gestión del riesgo.
Se espera que para el próximo seguimiento se subsanen las debilidades señaladas por la OCI en esta revisión.</t>
  </si>
  <si>
    <t>La información que entregan las dependencias para su divulgación no se encuentra en un lenguaje claro para los grupos de valor.</t>
  </si>
  <si>
    <t>Solicitudes de aclaración en la información por falta de claridad en las publicaciones  del ministerio.</t>
  </si>
  <si>
    <r>
      <t xml:space="preserve">El profesional de la Oficina de Prensa y Comunicaciones, de acuerdo con las solicitudes que hagan a la OPC (a demanda), revisa el insumo proporcionado por la fuente de información y si presenta  lenguaje técnico, poco comprensible, se asesora de la fuente, lo redacta en lenguaje claro y lo publica.
</t>
    </r>
    <r>
      <rPr>
        <b/>
        <sz val="11"/>
        <color theme="1"/>
        <rFont val="Abadi"/>
        <family val="2"/>
      </rPr>
      <t>Evidencia:</t>
    </r>
    <r>
      <rPr>
        <sz val="11"/>
        <color theme="1"/>
        <rFont val="Abadi"/>
        <family val="2"/>
      </rPr>
      <t xml:space="preserve"> Trazabilidad de algunas solicitudes que contengan ajustes a la información enviada por las dependencias. </t>
    </r>
  </si>
  <si>
    <t>Control Disciplinario Interno</t>
  </si>
  <si>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</si>
  <si>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que el proceso disciplinario se adelante incumpliendo los procedimientos internos, por errores u omisiones en la aplicación de la norma o fallas en el seguimiento de las etapas del proceso,
debido al desconocimiento y falta de control en la aplicación de los términos y actuaciones procesales</t>
  </si>
  <si>
    <t>Causa 1: Falta de talento humano: Insuficiencia de personal necesario o la carga de trabajo excesiva del mismo.</t>
  </si>
  <si>
    <t>Nulidad en la actuación 
Preescripción de la acción disciplinaria
 Vulneración del debido proceso
Pérdida de credibilidad
Reprocesos y carga adicional</t>
  </si>
  <si>
    <t>El líder del proceso disciplinario implementa y aplica el procedimiento interno actualizado que orienta la actuación disciplinaria conforme a la Ley, desde la fase de instrucción hasta la decisión, mediante su socialización, retroalimentación y seguimiento quincenal.</t>
  </si>
  <si>
    <t>Errores u omisiones en la aplicación de la norma o fallas en el seguimiento de las etapas del proceso</t>
  </si>
  <si>
    <t>Socializar los procedimientos internos cuando sea requerido  con el equipo</t>
  </si>
  <si>
    <t xml:space="preserve">Por demanda </t>
  </si>
  <si>
    <t xml:space="preserve">Jefe de oficina </t>
  </si>
  <si>
    <t xml:space="preserve">Listado de asistencia </t>
  </si>
  <si>
    <t>Durante el primer cuatrimestre, la Oficina de Control Disciplinario Interno (OCDI) adelantó diversas acciones orientadas a optimizar su gestión y funcionamiento. Se llevaron a cabo reuniones internas para redistribuir los procesos entre los abogados de la oficina, con el objetivo de equilibrar la carga laboral. Estas reuniones fueron documentadas mediante actas que detallan la asignación de trabajo a cada abogado. Asimismo, se implementó un acta de control de términos como herramienta para hacer seguimiento y asegurar el cumplimiento de los plazos procesales. En el ámbito tecnológico, se iniciaron solicitudes al área de Tecnología, utilizando el formato de control de cambios, con el fin de modificar la aplicación utilizada por la OCDI, la cual cambió su denominación de GCDI a GAD (Gestión de Asuntos Disciplinarios). También se realizaron varias reuniones, debidamente registradas en actas, en las que se verificó la competencia de los procesos gestionados por la oficina y se analizó la posible configuración del poder preferente por parte de la Procuraduría General de la Nación (PGN) en algunos de ellos. Finalmente, se adelantó el proceso de selección de una abogada, en el cual el Jefe de la Oficina realizó dos entrevistas y revisó cuidadosamente las hojas de vida de las aspirantes. La candidata seleccionada cumplió con todos los requisitos exigidos para el cargo, por lo que no se identificaron riesgos en el proceso. De igual forma, el judicante que actualmente se encuentra en la oficina continúa desempeñando sus funciones de manera satisfactoria.</t>
  </si>
  <si>
    <t xml:space="preserve">
Desde la Oficina se ha venido adelantando la socialización de los procedimientos internos con el equipo de trabajo, cada vez que ha sido requerido, con el propósito de garantizar su correcta aplicación y fortalecer el conocimiento institucional.
La Oficina ha venido realizando un seguimiento quincenal a los términos y actuaciones procesales, en conjunto con los abogados y el jefe inmediato. Esta actividad, que se lleva a cabo cada 15 días, tiene como propósito principal garantizar el control y la vigilancia oportuna de los procesos en curso, asegurando que se cumplan los plazos establecidos y se eviten posibles vencimientos o retrasos.</t>
  </si>
  <si>
    <t xml:space="preserve"> </t>
  </si>
  <si>
    <t>Desconocimiento y falta de control en la aplicación de los términos y actuaciones procesales.</t>
  </si>
  <si>
    <t>Hacer seguimiento quincenal de los términos y actuaciones procesales</t>
  </si>
  <si>
    <t xml:space="preserve">Quincenal </t>
  </si>
  <si>
    <t xml:space="preserve">Listado de asistencia y seguimiento </t>
  </si>
  <si>
    <t>Seguimiento y Evaluación</t>
  </si>
  <si>
    <t>Evaluar la objetividad, cumplimiento y efectividad del Sistema Integrado de Gestión delMinisterio de Justicia y del Derecho, en función de los roles relacionados con la evaluación y seguimiento, gestión del riesgo,liderazgo estratégico, enfoque hacia la prevención y relación con entes externos, que de forma razonable y transparente, lepermita alcanzar la eficiencia y eficacia en la consecución de los objetivos y metas asociadas a la planeación estratégica, tomade decisiones asertivas y mejora continua para el cumplimiento de las disposiciones normativas y estándares internacionales.</t>
  </si>
  <si>
    <t xml:space="preserve">Posibilidad que el equipo auditor emita informes de auditoria con desaciertos, debido a la presentación e interpretación inexacta de las evidencias aportadas por el proceso auditado, afectando la eficacia de los planes de mejoramiento y su contribución al valor público.
</t>
  </si>
  <si>
    <t>Causa 1:Presentación de evidencias ambiguas, lo que conduce a malinterpretaciones.</t>
  </si>
  <si>
    <t xml:space="preserve"> Informes inconsistentes</t>
  </si>
  <si>
    <t>Durante el desarrollo de una auditoría, el auditor líder emplea métodos como el muestreo, pruebas y análisis de los documentos proporcionados por el proceso auditado. Esto se realiza con el fin de prevenir errores en la interpretación y verificación de las evidencias. Si el auditor identifica información que no es clara, ambigua o no está dentro del alcance de la auditoría, debe comunicarse con el equipo auditado para garantizar un entendimiento mutuo. Como evidencia de esta comunicación quedan los documentos presentados, los registros de trabajo de la OCI y los correos electrónicos intercambiados entre el auditor y el auditado.</t>
  </si>
  <si>
    <t>Realizar la reunión de apertura para explicar y resolver inquietudes con respecto a la información requerida para llevar a cabo la auditoría.</t>
  </si>
  <si>
    <t>Cada vez que se realice una auditoría</t>
  </si>
  <si>
    <t>Equipo auditor de la Oficina de Control Interno</t>
  </si>
  <si>
    <t>Grabación, lista de asistencia o acta de reunión de apertura de la auditoría</t>
  </si>
  <si>
    <t>En el primer cuatrimestre del 2025, se adelantan las auditorías programadas en el plan anual de auditoria interna 2025. Se comparte muestra que comprueba la ejecución del control y del plan de tratamiento del riesgo en el cual se adelantan las reuniones con la dependencia auditada para resolver las inquietudes con respecto al cuestionario en el programa de auditoría.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https://minjusticiagovco-my.sharepoint.com/:f:/r/personal/mauricio_ordonez_minjusticia_gov_co/Documents/Evidencias%20riesgos/OCI/R2025/1cuatrimestre2025/Riesgos%20de%20gesti%C3%B3n?csf=1&amp;web=1&amp;e=W7CZiD</t>
  </si>
  <si>
    <t xml:space="preserve">"En el segundo cuatrimestre del 2025, se adelantan las auditorías programadas en el plan anual de auditoría interna 2025. Se comparte muestra que comprueba la ejecución del control y del plan de tratamiento del riesgo en el cual se adelantan las reuniones con la dependencia auditada para resolver las inquietudes con respecto al cuestionario en el programa de auditoría.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https://minjusticiagovco-my.sharepoint.com/:f:/r/personal/mauricio_ordonez_minjusticia_gov_co/Documents/Evidencias%20riesgos/OCI/R2025/1cuatrimestre2025/Riesgos%20de%20gesti%C3%B3n?csf=1&amp;web=1&amp;e=W7CZiD"
</t>
  </si>
  <si>
    <t>Se evidencia que la dependencia ha dado continuidad a la implementación de los controles, los cuales han demostrado ser efectivos hasta el momento. Sin embargo, se recomienda que la dependencia mantenga una revisión constante y actualizada de las posibles causas que podrían generar la materialización del riesgo, con el fin de anticiparse a nuevos escenarios y fortalecer la gestión del mismo.</t>
  </si>
  <si>
    <t>Causa 2:Falta de conocimiento y/o experticia del auditor sobre el proceso que está auditando.</t>
  </si>
  <si>
    <t>Toma de decisiones erradas</t>
  </si>
  <si>
    <t xml:space="preserve">El jefe de la OCI, anualmente realizará sesión de capacitación  a todos los integrantes del equipo auditor con el fin de reforzar los conocimientos de procesos y procedimiento a auditar. En caso de que uno de los integrantes del equipo no pueda asistir, la capacitacion sera reprogramada dentro del mismo mes de programación. Evidencia: Control de asistencia firmado por cada uno de los asistentes y los temas tratados y conclusion de la reunion.    </t>
  </si>
  <si>
    <t>Realizar reunión para dar lineamientos y directrices para abordar las auditorías bajo enfoque en riesgos y determinando la mejora institucional</t>
  </si>
  <si>
    <t>Mensualmente</t>
  </si>
  <si>
    <t>Jefe Oficina de Control Interno y Equipo auditor de la Oficina de Control Interno</t>
  </si>
  <si>
    <t>Reunión de la reunión de grupo primario</t>
  </si>
  <si>
    <t>Causa 3:Análisis incompleto de la información realizada por parte del auditor</t>
  </si>
  <si>
    <t>Desviación en los resultados de la auditoria</t>
  </si>
  <si>
    <t>El Jefe de la OCI orienta al auditor antes de iniciar la auditoría y también revisa el informe preliminar y los papeles de trabajo previo a su envío a las partes interesadas, con el propósito de evitar imprecisiones en su contenido. Analiza minuciosamente el informe y, si detecta inconsistencias, solicita al auditor las correcciones necesarias a través de correo electrónico, para realizar los ajustes correspondientes. Como evidencia de esta revisión, se conserva el correo electrónico que documenta las observaciones realizadas al informe.</t>
  </si>
  <si>
    <t>Causa 4:Falta de claridad del alcance, planificación y/o administración de los recursos por desconocimiento del proceso auditado.</t>
  </si>
  <si>
    <t>Afectación de la mejora continua del MJD</t>
  </si>
  <si>
    <t>Cada vez que se inicia un proceso de auditoría, el auditor líder elabora un plan detallado que incluye el alcance, la planificación y los recursos necesarios para llevar a cabo la auditoría. Este plan se envía al líder del proceso auditado a través de un memorando, el cual también establece la fecha y hora de la reunión de apertura de la auditoría. Durante esta reunión, que es presidida por el equipo auditor y el equipo del proceso auditado, se aclaran dudas y se confirma el alcance de la auditoría, el cronograma y la entrega de la información necesaria. Si se identifica alguna inconsistencia, el plan de auditoría será ajustado por el auditor. Como evidencia de este proceso, se conservan el plan de auditoría, el acta de la reunión y/o grabación, y el memorando de apertura de la auditoría.</t>
  </si>
  <si>
    <t>Causa 5:Falta de colaboración por parte del proceso que se va auditar para la ejecución de la auditoría.</t>
  </si>
  <si>
    <t>Procesos sin un adecuado mejoramiento continuo</t>
  </si>
  <si>
    <t>El Auditor Líder de la OCI, en cada proceso de auditoría durante la fase de comunicación de realización al auditado, envía una carta de representación. El objetivo de esta carta es establecer un compromiso entre ambas partes, donde el auditado asegura la veracidad, calidad y puntualidad de la información proporcionada a la OCI. Esta carta debe ser firmada por el líder del proceso auditado. En caso de que el auditado no responda a la solicitud de entrega del documento por correo electrónico o a través del EPX, se le reitera la solicitud según los términos establecidos en el memorando de apertura de la auditoría. Como evidencia de este proceso, se conservan la carta de representación, el acta de reunión y/o grabación, y el memorando de apertura de la auditoría.</t>
  </si>
  <si>
    <t>Incumplimiento normativo de la evaluación y control institucional que impiden el mejoramiento continuo, debido a la ineficiencia de gestión dentro del equipo auditor, ocasionando falta de planeación de las auditorías internas en la entidad.</t>
  </si>
  <si>
    <t>Causa 1: Escasez de auditores disponibles para llevar a cabo la planeación de las auditorías internas.</t>
  </si>
  <si>
    <t>El jefe de control interno, o quien haga sus veces, solicita recursos para la contratación de personal al menos una vez al año durante la presentación del anteproyecto. Esto se hace con el objetivo de asegurar que exista el suficiente personal para llevar a cabo toda la planificación del Plan Anual de Auditoría. En el caso de que los recursos no sean aprobados, las auditorías se llevarán a cabo según la disponibilidad de personal existente, y se realizarán los ajustes necesarios en el Plan Anual de Auditoría de ser necesario. Como evidencia de este proceso, se conserva el anteproyecto de la OCI y, si corresponde, el Plan Anual de Auditoría modificado.</t>
  </si>
  <si>
    <t xml:space="preserve">Realizar seguimiento a la programación y ejecución de las auditorías </t>
  </si>
  <si>
    <t>Acta de reunión grupo primario y seguimiento de la planeación mensual</t>
  </si>
  <si>
    <t>En el primer cuatrimestre del 2025, se adelantan las auditorias programadas en el plan anual de auditoria interna 2025. Se comparte muestra que comprueba la ejecución del control y del plan de tratamiento del riesgo en el cual se adelantan las reuniones con la dependencia auditada para resolver las inquietudes con respecto al cuestionario en el programa de auditoria. Se adelanta durante el periodo las reuniones de grupo de la OCI, en donde se realiza el seguimiento al cumplimiento de la ejecución y se genera lineamientos para la ejecución de las auditorias programadas y en ejecución.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https://minjusticiagovco-my.sharepoint.com/:f:/r/personal/mauricio_ordonez_minjusticia_gov_co/Documents/Evidencias%20riesgos/OCI/R2025/1cuatrimestre2025/Riesgos%20de%20gesti%C3%B3n?csf=1&amp;web=1&amp;e=W7CZiD</t>
  </si>
  <si>
    <t xml:space="preserve">"En el segundo cuatrimestre del 2025, se adelantan las auditorias programadas en el plan anual de auditoria interna 2025. Se comparte muestra que comprueba la ejecución del control y del plan de tratamiento del riesgo en el cual se adelantan las reuniones con la dependencia auditada para resolver las inquietudes con respecto al cuestionario en el programa de auditoria. Se adelanta durante el periodo las reuniones de grupo de la OCI, en donde se realiza el seguimiento al cumplimiento de la ejecución y se genera lineamientos para la ejecución de las auditorias programadas y en ejecución. Las evidencias se encuentran en el One Drive y publicados en la pág web de la entidad.
https://www.minjusticia.gov.co/ministerio-co/planeacion-gestion-control/auditorias-internas/auditorias-internas
https://minjusticiagovco-my.sharepoint.com/:f:/r/personal/mauricio_ordonez_minjusticia_gov_co/Documents/Evidencias%20riesgos/OCI/R2025/1cuatrimestre2025/Riesgos%20de%20gesti%C3%B3n?csf=1&amp;web=1&amp;e=W7CZiD"
</t>
  </si>
  <si>
    <t>Causa 2:Situaciones fortuitas o atención de situaciones no previstas.</t>
  </si>
  <si>
    <t>Reprogramación de las auditorias ya programadas</t>
  </si>
  <si>
    <t>El jefe de la OCI presenta anualmente al CICCI - para su aprobación- el documento metodológico que contiene los lineamientos para el establecimiento del Plan Anual de Auditoría. Incorporando componentes como: introducción, objetivo, alcance, fuentes de criterios, conocimiento de la entidad, alienación con la planeación estratégica, determinación del universo de auditoría y del plan de auditoria, en caso de que algunos de los elementos que constituyen el documento metologico falte o se tenga que actualizar este será presentado nuevamente al CICCI para la aprobación del ajuste al plan anual Evidencia: Acta de aprobación del plan anual.</t>
  </si>
  <si>
    <t>Causa 3:Falta de colaboración por parte del proceso que se va auditar para la ejecución de la auditoría.</t>
  </si>
  <si>
    <t>Pérdida imagen institucional.</t>
  </si>
  <si>
    <t>El Auditor Líder de la OCI cada vez que haya un proceso de auditoría (según aplique) informa mediante memorando el plan de auditoria y establece la fecha de reunión de apertura con el fin de aclarar inquietudes frente al alcance de la auditoria, el cronograma y entrega de la información. El auditado al responder la carta de representación, pone de presente que la información que habrá de entregar es confiable, oportuna y completa. En caso de que el auditado hago caso omiso a la entrega del documento a través de correo electronico o el EPX,  se le reitera la solicitud en los términos establecidos en el memorando de apertura. Evidencia: Carta representación, acta de reunión y/o grabación, memorando de apertura de la auditoria</t>
  </si>
  <si>
    <t>Causa 4:Inadecuada planeación del trabajo de auditoría.</t>
  </si>
  <si>
    <t>Falta de conocimiento y decisión por parte de la Alta Dirección frente a temas priorizados en el Plan Anual de Auditoria.</t>
  </si>
  <si>
    <t xml:space="preserve">El grupo de profesionales junto con el jefe de la Oficina realizan reuniones mensuales de seguimiento a la gestión de acuerdo con la programación anual, con el fin de revisar el avance de actividades a cargo de cada profesional y establecer tiempos para su cumplimiento. En caso que se presente desviación de los lineamientos impartidos, el Jefe de la OCI en revisión del informe preliminar adelantará las observaciones y correcciones del caso al líder auditor para que realice los cambios o ajustes requeridos. Así mismo, puede realizar control sobre la auditoria durante el proceso del mismo. Evidencia: Acta de reunión, correo electrónico, cronograma del plan anual. </t>
  </si>
  <si>
    <r>
      <t xml:space="preserve">Impacto: </t>
    </r>
    <r>
      <rPr>
        <b/>
        <sz val="11"/>
        <color theme="1"/>
        <rFont val="Calibri"/>
        <family val="2"/>
        <scheme val="minor"/>
      </rPr>
      <t>Definición:</t>
    </r>
    <r>
      <rPr>
        <sz val="11"/>
        <color theme="1"/>
        <rFont val="Calibri"/>
        <family val="2"/>
        <scheme val="minor"/>
      </rPr>
      <t xml:space="preserve"> Es la </t>
    </r>
    <r>
      <rPr>
        <b/>
        <sz val="11"/>
        <color theme="1"/>
        <rFont val="Calibri"/>
        <family val="2"/>
        <scheme val="minor"/>
      </rPr>
      <t>magnitud o nivel de afectación</t>
    </r>
    <r>
      <rPr>
        <sz val="11"/>
        <color theme="1"/>
        <rFont val="Calibri"/>
        <family val="2"/>
        <scheme val="minor"/>
      </rPr>
      <t xml:space="preserve"> que esa consecuencia genera en los objetivos de la entidad (económico, reputacional, legal, social, operativo).   Consecuencia, </t>
    </r>
    <r>
      <rPr>
        <b/>
        <sz val="11"/>
        <color theme="1"/>
        <rFont val="Calibri"/>
        <family val="2"/>
        <scheme val="minor"/>
      </rPr>
      <t>Definición:</t>
    </r>
    <r>
      <rPr>
        <sz val="11"/>
        <color theme="1"/>
        <rFont val="Calibri"/>
        <family val="2"/>
        <scheme val="minor"/>
      </rPr>
      <t xml:space="preserve"> Es el </t>
    </r>
    <r>
      <rPr>
        <b/>
        <sz val="11"/>
        <color theme="1"/>
        <rFont val="Calibri"/>
        <family val="2"/>
        <scheme val="minor"/>
      </rPr>
      <t>resultado directo o efecto inmediato</t>
    </r>
    <r>
      <rPr>
        <sz val="11"/>
        <color theme="1"/>
        <rFont val="Calibri"/>
        <family val="2"/>
        <scheme val="minor"/>
      </rPr>
      <t xml:space="preserve"> de que el riesgo se materialice.</t>
    </r>
  </si>
  <si>
    <t>Herramienta de Administración de riesgos</t>
  </si>
  <si>
    <t>ANÁLISIS DEL RIESGO</t>
  </si>
  <si>
    <t>Análisis de Impacto Riesgos de Corrupción</t>
  </si>
  <si>
    <t>1. ¿Afecta al grupo de funcionarios del proceso?</t>
  </si>
  <si>
    <t>2. ¿Afecta el cumplimiento de metas y objetivos de la dependencia?</t>
  </si>
  <si>
    <t>3. ¿Afecta el cumplimiento de misión de la Entidad?</t>
  </si>
  <si>
    <t>4. ¿Afecta el cumplimiento de la misión del sector al que pertenece la Entidad?</t>
  </si>
  <si>
    <t>5. ¿Genera pérdida de confianza de la entidad, afectando la reputación?</t>
  </si>
  <si>
    <t>6. ¿Genera pérdida de Recursos Económicos?</t>
  </si>
  <si>
    <t>7. ¿Afecta la generación de los productos o la prestación de servicios?</t>
  </si>
  <si>
    <t>8. ¿Da lugar al detrimento de calidad de vida de la comunidad por la pérdida del bien, servicios o recursos públicos?</t>
  </si>
  <si>
    <t>9. ¿Genera pérdida de información de la Entidad?</t>
  </si>
  <si>
    <t>10. ¿Genera intervención de los órganos de control, de la Fiscalía u otro ente?</t>
  </si>
  <si>
    <t>11. ¿Da lugar a procesos sancionatorios?</t>
  </si>
  <si>
    <t>12. ¿Da lugar a procesos disciplinarios?</t>
  </si>
  <si>
    <t>13. ¿Da lugar a procesos fiscales?</t>
  </si>
  <si>
    <t>14. ¿Da lugar a procesos penales</t>
  </si>
  <si>
    <t>15. ¿Genera pérdida de credibilidad del sector?</t>
  </si>
  <si>
    <t>16. ¿Ocasiona lesiones físicas o pérdida de vidas humanas?</t>
  </si>
  <si>
    <t>17. ¿Afecta la imagen regional?</t>
  </si>
  <si>
    <t>18. ¿Afecta la imagen nacional?</t>
  </si>
  <si>
    <t>19. ¿Genera daño ambiental?</t>
  </si>
  <si>
    <t>CONTADOR DE IMPACTO</t>
  </si>
  <si>
    <t xml:space="preserve">Orientar la ejecución de las actividades necesarias para garantizar el acceso, la administración y conservación de los documentos físicos y electrónicos producidos y recibidos por la Entidad,
en cumplimiento de las disposiciones emanadas por parte del Archivo General de la Nación “Jorge Palacios Preciado” y el Ministerio de Tecnologías de la Información </t>
  </si>
  <si>
    <t>Posibilidad de manipular, incluir o extraer documentos no autorizados haciendo uso del poder, accediendo a los archivos de gestión y el archivo central para favorecer intereses privados o particulares.</t>
  </si>
  <si>
    <t>Debilidades en los controles de acceso a los Archivos de Gestión y Archivo Central</t>
  </si>
  <si>
    <t xml:space="preserve">1. Sanciones de entes de Control </t>
  </si>
  <si>
    <t>No</t>
  </si>
  <si>
    <t>El Técnico, Profesional o Contratista del Grupo de Gestión Documental  designado, implementará el control de Préstamo y Consulta de Documentos y Expedientes conforme al Procedimiento P-GD-06. Para el acceso de personal tras cualquier cambio en los permisos de acceso a los archivos, el GGD enviará un correo electrónico al Grupo de Gestión Administrativa (GGA) y al supervisor del contrato de vigilancia, adjuntando la lista actualizada de personas autorizadas. Además, todos los accesos quedarán registrados en el Formato F-GD-06-03 - Control de Ingreso y Salida de Bodegas de Archivo, garantizando la evidencia de quienes ingresaron al archivo de gestión. En caso de detectarse el ingreso de personal no autorizado, se notificará inmediatamente al GGA, Secretaría General (SG) y la Oficina de Control Interno (OCI) para la adopción de las medidas correctivas pertinentes.
Evidencia: 1. -Reporte de Power BI con el registro solicitudes de prestamos en form de la intranet.
Evidencia: 2. -F-GD-06-02-Formato de prestamos  de expedientes y consulta de documentos.
Evidencia: 3. -F-GD-06-03-Control de Ingreso y Salida de Bodegas de archivo</t>
  </si>
  <si>
    <t>Remitir listado de accesos autorizados a los archivos de gestión y archivo central al Grupo de Gestión Administrativa, actualizado de acuerdo con los cambios en roles, responsabilidades y contratos.</t>
  </si>
  <si>
    <t>Coordinador del Grupo de Gestión documental</t>
  </si>
  <si>
    <t>Correo Electronico al GGA</t>
  </si>
  <si>
    <r>
      <t xml:space="preserve">El riesgo no se materializo en I Cuatrimestre de 2025. En atención a las observaciones realizadas por la OCI, se realizó la reformulación del riesgo, controles, valoración y acciones de tratamiento conforme a la GUIA G-MC-04 de Administración del Riesgo. 
Los controles y acciones de tratamiento se ejecutaron conforme a lo planificado, se presentan evidencias a corte 30 de abril de acuerdo con el requerimiento de reporte de información de la OAP:
</t>
    </r>
    <r>
      <rPr>
        <b/>
        <sz val="11"/>
        <color theme="1"/>
        <rFont val="Calibri"/>
        <family val="2"/>
        <scheme val="minor"/>
      </rPr>
      <t>Control 1</t>
    </r>
    <r>
      <rPr>
        <sz val="11"/>
        <color theme="1"/>
        <rFont val="Calibri"/>
        <family val="2"/>
        <scheme val="minor"/>
      </rPr>
      <t xml:space="preserve"> : Se recibieron las solicitudes de préstamo de documentos en tiempo real por el formulario Forms y se verificó su viabilidad. Se atendieron 317 solicitudes préstamos para el primer cuatrimestre del año 2025, sin novedad.
-Se adjuntan las planillas de entrega de documentos físicos en los casos en los que se confirmó el acceso a la información.
</t>
    </r>
    <r>
      <rPr>
        <b/>
        <sz val="11"/>
        <color theme="1"/>
        <rFont val="Calibri"/>
        <family val="2"/>
        <scheme val="minor"/>
      </rPr>
      <t xml:space="preserve">Acción de tratamiento 1 </t>
    </r>
    <r>
      <rPr>
        <sz val="11"/>
        <color theme="1"/>
        <rFont val="Calibri"/>
        <family val="2"/>
        <scheme val="minor"/>
      </rPr>
      <t>: La actividad se ha realizado con la solicitud de autorización de ingresos a los archivos MJD, al Grupo de Gestión Administrativa, por medio de correo electronico: se comparten 63 correos en el periodo.</t>
    </r>
  </si>
  <si>
    <t>2. Investigaciones disciplinarias, penales y fiscales</t>
  </si>
  <si>
    <t>El Profesional o Contratista del Grupo de Gestión Documental  designado, cada vez que sea requerido solicitara a Todo el personal, contratistas y vinculado por outsourcing que requiera acceso a los archivos de gestión y archivo central del Ministerio firmar un Acuerdo de Confidencialidad de la Información.
Evidencia :  Firma F-GC-04-44- Compromiso de Confidencialidad</t>
  </si>
  <si>
    <t>Realizar capacitaciones de acuerdo con el Plan de Capacitación Institucional, enfocadas en la normatividad archivística y los procedimientos para la adecuada operación del Grupo de Gestión Documental.</t>
  </si>
  <si>
    <t>Presentación de la Capacitación y Lista de asistencia.</t>
  </si>
  <si>
    <r>
      <t xml:space="preserve">El riesgo no se materializo en I Cuatrimestre de 2025. 
Los controles y acciones de tratamiento se ejecutaron conforme a lo planificado, se presentan evidencias a corte 30 de abril de 2025 de acuerdo con el requerimiento de reporte de información de la OAP:
</t>
    </r>
    <r>
      <rPr>
        <b/>
        <sz val="11"/>
        <color theme="1"/>
        <rFont val="Calibri"/>
        <family val="2"/>
        <scheme val="minor"/>
      </rPr>
      <t>Control 2</t>
    </r>
    <r>
      <rPr>
        <sz val="11"/>
        <color theme="1"/>
        <rFont val="Calibri"/>
        <family val="2"/>
        <scheme val="minor"/>
      </rPr>
      <t xml:space="preserve"> : Se realizo la firma del Fomato de confidencialidad, para todos los contratistas y personal que ingreso  a laboral durante el I cuatrimestre, sin novedad.
-Se adjuntan 26 formatos firmados por los contratistas y personal de Servicios Postales.
</t>
    </r>
    <r>
      <rPr>
        <b/>
        <sz val="11"/>
        <color theme="1"/>
        <rFont val="Calibri"/>
        <family val="2"/>
        <scheme val="minor"/>
      </rPr>
      <t xml:space="preserve">Acción de tratamiento 2 </t>
    </r>
    <r>
      <rPr>
        <sz val="11"/>
        <color theme="1"/>
        <rFont val="Calibri"/>
        <family val="2"/>
        <scheme val="minor"/>
      </rPr>
      <t>: Se realizo el cumplimiento del Plan institucional de capacitacion para lo cual se adjuntan evidencias de 10 capacitaciones sobre temas Archivisticos realizadas en el cuatrimestre.</t>
    </r>
  </si>
  <si>
    <t>3. Perdida de la memoria institucional</t>
  </si>
  <si>
    <t xml:space="preserve">
4. Reconstrucción de los  expedientes perdidos o deteriorados</t>
  </si>
  <si>
    <t xml:space="preserve"> Establecer los lineamientos para la selección, suscripción, ejecución y liquidación de contratos en
el Ministerio de Justicia y del Derecho, con el fin de suplir las diferentes necesidades de adquisición de bienes y servicios que
permitan el cumplimiento de las funciones y competencias que le asigna la Ley a la entidad.	</t>
  </si>
  <si>
    <t>Posibilidad de omitir deliberadamente los incumplimientos contractuales o alterar los informes de supervisión o interventoría, a cambio de beneficios personales o de terceros, comprometiendo la adecuada ejecución del contrato y/o los recursos de la entidad.</t>
  </si>
  <si>
    <t>Deficiente seguimiento por parte del supervisor o interventor sin cumplir con lo establecido en la normatividad vigente.</t>
  </si>
  <si>
    <t>Investigaciones disciplinarias, fiscales y penales</t>
  </si>
  <si>
    <t>El supervisor e interventor deberá presentar informes de ejecución según la periodicidad pactada en el contrato, en los cuales se verifique el avance de la ejecución del contrato, las actividades realizadas, los bienes suministrados, los servicios prestados, las obras ejecutadas, las cantidades recibidas y de más que correspondan, según la naturaleza del contrato. Los cuales deberán referirse al cumplimiento y seguimiento del contrato, en el aspecto jurídico, técnico, administrativo, financiero y contable. Evidencias: Base de datos de los contratos o convenios en ejecución con su respectivo link de consulta en Secop.</t>
  </si>
  <si>
    <t>Debilidades en la definición  y/o aplicación de controles para la supervisión e interventoría de los contratos.</t>
  </si>
  <si>
    <t>Remitir recomendaciones generales a los supervisores, sobre la adecuada labor de la supervisión</t>
  </si>
  <si>
    <t xml:space="preserve"> Circular o memorando o correo electrónico</t>
  </si>
  <si>
    <t>No se presentó la materialización de riesgos.  Se realiza reporte con corte 30 de abril de 2025.
Se cargan las evidencias tanto de los acciones como de los controles en la carpeta conpartida del OneDrive.
1. Mediante memorando MEM25-0001849-GGC-40200 el GGC emite: "Recomendaciones para los supervisores de contratos en el cumplimiento de la obligación de publicación de documentos en el Secop II, Tienda Virtual y Sicfr".
2. El 4 de abril de 2025 se socializa por parte de secretaria general mediante correo electrónico.
Es necesario indicar que atendiendo las recomendaciones de la OAP y SG, en reuniones llevadas a cabo el 25 y 30 de Abril 2025, se relacionan los ajustes realizados en la matriz de corrupción del GGC, así:
• Por recomendación del asesor de la OAP, se modifica el riesgo que inicialmente cubría las 3 etapas de la Gestión Contractual quedando enfocado en la etapa de ejecuciónsupervisión, definiéndose como “Posibilidad de omitir deliberadamente los incumplimientos contractuales o alterar los informes de supervisión o interventoría, a cambio de beneficios personales o de terceros, comprometiendo la adecuada ejecución del contrato y/o los recursos de la entidad.”
• Se ajustan causas, controles y acciones de tratamiento enfocadas a la etapa ejecución-supervisión
• Se ajusta el objetivo estratégico al de la vigencia 2025
• La columna AU “Opciones de manejo” del riesgo residual, conforme la indicación del asesor de la OAP se ajusta manualmente, ya que en los casos de riesgo residual “Alto” o “extremo” se debe definir plan de tratamiento por lo tanto lo adecuado es “Reducir el riesgo” y no “Evitar el riesgo” como lo presenta por formulación el formato.
• Se realizaron ajustes en la formulación de la columna AJ, correspondiente a la evaluación del riesgo residual, la cual se encontraba en blanco. Se incorporó la fórmula de la matriz anterior.
Como resultado del ejercicio realizado se proyecta un posible riesgo fiscal para el proceso, sin embargo se revisará su viabilidad para el segundo cuatrimestre de la vigencia.</t>
  </si>
  <si>
    <t>Pérdida reputacional de la imagen institucional</t>
  </si>
  <si>
    <t>El supervisor para cada informe de pago, realizará el seguimiento periódico a los riesgos del contrato en el formato F-GC-07-01 con el fin de detectar la materialización del riesgo o la alta probabilidad de ocurrencia. Si se evidencia que el riesgo se materializó o que tiene alta probabilidad de ocurrencia deberá informar al Grupo de Gestión Contractual mediante memorando. Evidencias: Base de datos de los contratos o convenios en ejecución con su respectivo link de consulta en Secop y memorando.</t>
  </si>
  <si>
    <t>Realizar capacitaciones a los funcionarios y colaboradores de la entidad en materia de supervisión e interventoria de contratos, el deber de publicar los documentos de ejecucion del contrato en Secop II y TVEC, las consecuencias disciplinarias, fiscales y penales en que se puede incurrir por una deficiente supevisión del contrato, entre otros temas.</t>
  </si>
  <si>
    <t xml:space="preserve"> Evidencia: Listado de asistencia o grabación.</t>
  </si>
  <si>
    <t xml:space="preserve">No se presentó la materialización de riesgos.  Se realiza reporte con corte 30 de abril de 2025.
Se cargan las evidencias tanto de los acciones como de los controles en la carpeta conpartida del OneDrive.
1. El 11 de marzo de 2025 realizó capacitación en el tema "Seguimiento a la ejecución contractual y el uso del módulo plan de pagos en Secop II", se carga grabacion y listado de asistencia. 
</t>
  </si>
  <si>
    <t xml:space="preserve">Autorizar el pago del contrato sin el cumplimiento de las obligaciones pactadas y sin la respectiva documentación soporte que de cuenta del cumplimiento del contrato. 
</t>
  </si>
  <si>
    <t>Posibles demandas</t>
  </si>
  <si>
    <t>El/la Funcionario (a) y/o Contratista del GGC,  dentro de los cinco (5) días hábiles siguientes a la fecha de reparto del trámite de solicitud de liquidación del convenio, contrato u orden de compra o área encargada de adelantar el trámite, revisará la completitud y coherencia de los documentos de conformidad con el formato F-GC-05-02 Lista de chequeo para liquidación de contrato, convenio, orden de compra o cierre de convenio de cooperación internacional, y control de legalidad de los documentos contra la información que repose dentro del expediente contractual y/o en la plataforma Secop II. En caso de no cumplir con los requisitos se solicitan ajustes al supervisor por correo electrónico para que subsanen en un término máximo de cinco (5) días hábiles. De no realizar los ajustes se devuelve el trámite por medio de memorando. Evidencias:  Memorando de solicitud de liquidación, F-GC-05-02 Lista de chequeo para liquidación de contrato, convenio, orden de compra o cierre de convenio de cooperación internacional   formato, Correo electrónico solicitud de ajustes o memorando de devolución en los casos que aplique</t>
  </si>
  <si>
    <t>Radicación inadecuada o inoportuna de los documentos por parte del supervisor para la liquidacion de contratos.</t>
  </si>
  <si>
    <t>Revisar y unificar los lineamientos para la supervision de contratos establecidos en los documentos del SIG (Grupo de Gestión contractrual y Grupo de Gestion  financiera y contable)</t>
  </si>
  <si>
    <t>Correos electrónicos, pantallazo reunion Teams, listado de asistencia y /o documentos actualizados y socializados</t>
  </si>
  <si>
    <t xml:space="preserve">No se presentó la materialización de riesgos.  Se realiza reporte con corte 30 de abril de 2025.
Se cargan las evidencias tanto de los acciones como de los controles en la carpeta conpartida del OneDrive.
1. Se remite para revisión de SG la actualizacion del procedimiento P-GC-07 "Supervisión de contratos y convenios" ajustado, y el Anexo 1 F-GC-07-02 "Uso del módulo Plan de Pagos en Secop II y seguimiento a la ejecución contractual" (documento nuevo).
</t>
  </si>
  <si>
    <t>Demoras o reprocesos internos</t>
  </si>
  <si>
    <t>El /la Coordinador(a) del GGC o quien delegue, realizará una revisión de carácter aleatorio a los informes de ejecución de actividades presentados por los contratistas los cuales deben encontrarse debidamente publicados y avalados por el supervisor del contrato en la plataforma SECOP II, de tal manera que se pueda brindar apoyo en el seguimiento a la ejecución contractual de ser necesario, con el fin de generar las alertas a que haya lugar. En caso de encontrarse inconformidades con la publicación de los informes de ejecución de los contratistas en la plataforma Secop II, se remitirá correo electrónico a la dependencia y se realizará el seguimiento hasta corregir la falta de publicidad. Evidencia; Informe de seguimiento y correos electrónicos (si aplica correo)</t>
  </si>
  <si>
    <t xml:space="preserve">Remitir memorando por parte del ordenador del gasto a los supervisores que reincidan en las inconsistencias en la publicacion en secop </t>
  </si>
  <si>
    <t>Memorandos</t>
  </si>
  <si>
    <t>Teniendo en cuenta la fecha de inicio de la actividad, para el próximo reporte se remitirá el seguimiento y las evidencias. No aplica para este reporte.</t>
  </si>
  <si>
    <t>El supervisor cada vez que se tramite el pago de una factura o cuenta cobro, valida el cargue en SECOP o tienda virtual, según corresponda y aprobación de las facturas emitidas por el contratista, revisando la información diligenciada en las secciones (i) identificación del pago; (ii) número de la factura; (iii) fecha de emisión (iv) valor neto y valor total; (v) notas que haya dejado el contratista; (vi) fecha de recepción original (es la fecha en la que el contratista cargó los documentos en la plataforma) (vii) número de radicación; y (viii) documentos soportes y la información de la planilla de seguridad social.  En caso de encontrar inconsistencias, rechazará la cuenta para que el contratista pueda hacer los ajustes e iniciar nuevamente flujo de aprobación.
Evidencia: Trazabildad en SECOP II (Se adjunta base de datos)</t>
  </si>
  <si>
    <t>Posibilidad de hacer uso del poder para realizar pagos o movimientos de recursos públicos sin el cumplimiento de los requisitos legales o administrativos, debido a la omisión en la verificación de los documentos soporte, para un beneficio personal o favorecer a un tercero</t>
  </si>
  <si>
    <t>Efectuar pagos sin el cumplimiento de los requisitos legales en los documentos soportes de las cuentas de cobro de proveedores y contratistas.</t>
  </si>
  <si>
    <t>1. Detrimentro patrimonial
2. Investigaciones Disciplinarias
3. Requerimientos por parte de los Entes de Control</t>
  </si>
  <si>
    <t>1.Los profesionales del área de Tesorería, cada vez que llega una solicitud de pago con la respectiva obligación presupuestal, y con el fin realizar el pago cumpliendo con los requisitos legales, revisan cada obligación con sus soportes, verificando que las deducciones estén conformes a lo solicitado por el proveedor o contratista. Si se encuentran inconsistencias se devuelve al Profesional de Central de Cuentas mediante correo electronico, solicitando los ajustes correspondientes.
Evidencia:
1.Correo electrónico de devolución.</t>
  </si>
  <si>
    <t>1. Realizar retroalimentación con los profesionales de Central de Cuentas, socializando los incidentes que se están presentando al momento de registrar la obligación prespuestal, con el fin de identificar mecanismos para minimizar y/o eliminar el margen de error.</t>
  </si>
  <si>
    <t>Líder de Tesorería</t>
  </si>
  <si>
    <t>1. Acta de Reunión</t>
  </si>
  <si>
    <t>Favorecimiento o preferencias en la asignación de PAC</t>
  </si>
  <si>
    <t>2. El Profesional de Tesorería responsable de revisar las obligaciones, cada vez que se recibe una cuenta y con el propósito de no tramitar cuentas sin asignación de recursos, valida en la planilla "Consolidado de PAC" que la solicitud de pago tenga asignación de PAC en estado aprobado. En caso de no radicarse las cuentas dentro de los tiempos establecidos, se reasignarán los recursos a aquellas cuentas que no tengan PAC aprobado.
Evidencia: 
1. Planilla de asignación de PAC.</t>
  </si>
  <si>
    <t>2. Enviar memorando a las dependencias generadoras de información contable y financiera, con el fin de reiterar el cumplimiento de los requisitos acorde al procedimiento establecido para el trámite y pago de cuentas, así como las fechas limites establecidas para realizar la solicitud de PAC, ante el GGFC.</t>
  </si>
  <si>
    <t>1. Memorando enviado</t>
  </si>
  <si>
    <t>Realizar evaluaciones financieras inadecuadas con el fin de favorecer a un tercero.</t>
  </si>
  <si>
    <r>
      <t xml:space="preserve">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t>
    </r>
    <r>
      <rPr>
        <sz val="10"/>
        <rFont val="Arial"/>
        <family val="2"/>
      </rPr>
      <t>1. Correos enviados al GGC, con la respectiva evaluación financiera.
2. Correos enviados al GGC, con las observaciones realizadas (cuando aplique).</t>
    </r>
  </si>
  <si>
    <r>
      <t xml:space="preserve">3. Realizar actualización de la Guía </t>
    </r>
    <r>
      <rPr>
        <i/>
        <sz val="10"/>
        <rFont val="Arial"/>
        <family val="2"/>
      </rPr>
      <t>"G-GF-02 Evaluaciones Financieras Para Procesos Contractuales"</t>
    </r>
    <r>
      <rPr>
        <sz val="10"/>
        <rFont val="Arial"/>
        <family val="2"/>
      </rPr>
      <t xml:space="preserve">, con el fin de implementar nuevos controles acorde con las actividades ejecutadas actualmente. </t>
    </r>
  </si>
  <si>
    <t>Líder de Contabilidad</t>
  </si>
  <si>
    <t>1.  Guía "G-GF-02 Evaluaciones Financieras Para Procesos Contractuales" - Actualizada</t>
  </si>
  <si>
    <t>3.El Profesional de Contabilidad designado por el Coordinador(a) del Grupo de Gestión Financiera, cada vez que se radica una solicitud de evaluación financiera ante el GGFC y con el fin de emitir concepto sobre el cumplimiento de los requisitos habilitantes en temas financieros, revisa que la evaluación financiera cumpla con los requisitos establecidos en el pliego de condiciones. En caso de no cumplir con los requisitos mínimos, se emite concepto desfavorable y en el caso de ser una observación subsanable, se solicita la documentación requerida a través de correo electrónico.
Evidencia: 
1. Correos enviados al GGC, con la respectiva evaluación financiera.
2. Correos enviados al GGC, con las observaciones realizadas (cuando aplique).</t>
  </si>
  <si>
    <t>Posibilidad de manipular u omitir deliberadamente información de cumplimiento de requisitos mínimos para la vinculación de personal en la entidad, para favorecer intereses privados o particulares.</t>
  </si>
  <si>
    <t>Causa 1: Debilidad en la aplicación de lineamientos establecidos en la documentación Grupo de Gestión Humana para la vinculación de funcionarios.</t>
  </si>
  <si>
    <t>Pérdida de credibilidad institucional.</t>
  </si>
  <si>
    <t>El profesional del GGH encargado de la validación de los documentos de cumplimiento de requisitos, cada vez que se realice proceso de vinculación de un funcionario a la entidad, deberá tener en cuenta lo señalado en el procedimiento P-TH-01 "ingreso y retiro de funcionarios",  recibir y verificar el listado de cumplimiento de los documentos requeridos y diligenciar el formato F-TH-01-08 lista de entrega de documentos para tomar posesión. Si al momento de hacer la verificación, identifica información que no es clara, esta incorrecta o el aspirante no cumple con los requisitos, se solicita al aspirante que subsane o la aclare la información, si luego de este proceso se concluye que el aspirante no cumple se informa al aspirante su improcedencia de vinculación a la entidad. 
Evidencia: Formato lista de documentos para posesión. F-TH-01-08</t>
  </si>
  <si>
    <t xml:space="preserve">Realizar un muestreo aleatorio verificando con la entidad correspondiente la constatación de la veracidad del documento. </t>
  </si>
  <si>
    <t>Cada vez que ingresa un funcionario</t>
  </si>
  <si>
    <t>Coordinadora del Grupo de Gestión Humana</t>
  </si>
  <si>
    <t>comunicados solicitando información empresas o universidades</t>
  </si>
  <si>
    <t>Causa 2: Falta de controles en la revisión del cumplimiento de requisitos mínimos para vinculación de personal.</t>
  </si>
  <si>
    <t>Investigaciones disciplinarias, penales y fiscales.</t>
  </si>
  <si>
    <t>El Coordinador (a) del Grupo de Gestión Humana cada vez que se realice proceso de vinculación de un funcionario a la entidad, deberá tener en cuenta lo señalado en el procedimiento P-TH-01 "ingreso y retiro de funcionarios"  revisar y certificar el cumplimiento de los requisitos mediante la firma de la respectiva certificación y el formato F-TH-01-05 “Formato de Certificado de Cumplimiento de Requisitos”. Si al momento de hacer la verificación, identifica información que no es clara, esta incorrecta o el aspirante no cumple con los requisitos, solicita al funcionario del Grupo de Gestión Humana que valide con el aspirante la información, para que subsane o la aclare lo pertinente, si luego de este proceso se concluye que el aspirante no cumple se informa al aspirante su improcedencia de vinculación a la entidad. 
Evidencia: Formato lista de documentos para posesión. F-TH-01-05</t>
  </si>
  <si>
    <t xml:space="preserve">Generar reunión con el equipo de funcionarios del Grupo de Gestión Humana que lideran los procesos de vinculación a fin de fortalecer el conocimiento de los lineamientos establecidos en el P-TH-01 "ingreso y retiro" y la normatividad vigente en el tema y generar retroaliementación con el coordinadora del GGH. </t>
  </si>
  <si>
    <t>Semanalmente</t>
  </si>
  <si>
    <t xml:space="preserve">Invitación reunión agenda teams. </t>
  </si>
  <si>
    <t>Posibilidad de impacto económico y reputacional derivado de la pérdida de recursos al financiar una iniciativa asociada a Justicia étnica que no cumpla con los requisitos establecidos para el Banco de Iniciativas y Proyectos, beneficiando con ello a un tercero.</t>
  </si>
  <si>
    <t>Causa 1: Fallas en alguna de las etapas de revisión de requisitos y documentos en el marco del Banco de Iniciativas y Proyectos.</t>
  </si>
  <si>
    <t>_Investigaciones disciplinarias, fiscales 
- Pérdida de Credibilidad</t>
  </si>
  <si>
    <t>El equipo seleccionado del Grupo de Fortalecimiento a la Justicia étnica una vez el grupo culmina la revisión de los requisitos mínimos y  a fin de establecer si este análisis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o acta de reunión si esta se realiza de forma presencial. En ambas se concluirá sobre las iniciativas revisadas y validadas.</t>
  </si>
  <si>
    <t>Revisión posterior por parte del coordinador del grupo a los documentos asociados  a los requisitos de las iniciativas</t>
  </si>
  <si>
    <t>Coordinadora del Grupo de Fortalecimiento a la Justicia Étnica</t>
  </si>
  <si>
    <t>Iniciativa revisada</t>
  </si>
  <si>
    <t>Durante el primer cuatrimestre de la vigencia 2025 se han adelantado las siguientes acciones en el marco del “Banco de Iniciativas y Proyectos para el Fortalecimiento de la Justicia Propia de los Pueblos Indígenas de Colombia” (BIP): 
•	Se formuló la ficha de necesidades teniendo en cuenta las actualizaciones de compromisos a cargo del MJD.
•	Se adelantó el proceso correspondiente para obtener las cotizaciones.
•	Se hizo la formulación del estudio previo.
•	Se adelantó el estudio de sector.
•	Se actualizaron los formatos para la gestión del BIP.
•	Se suscribió el Contrato 590 de 2025 con la Universidad Nacional de Colombia.
•	Se inició la ejecución del Contrato 590 de 2025.
Lo anterior, de conformidad con lo señalado en el REPORTE DE ACCIONES PLAN ÉTNICO PRIMER TRIMESTRE 2025, y adicionando acciones y logros del mes de abril de 2025. 
En cuanto al procedimiento para la priorización y viabilización de las iniciativas, se adelantó con corte a abril las siguientes fases: Socialización y Expectativa, y Presentación y/o postulación de iniciativas escritas.
El detalle de cada una de las fases puede ser consultado en el documento interno denominado APR.OAP. G-AJ-03-GESTION-BANCO-DE-INICIATIVAS-DE-PUEBLOS-INDIGENAS, siendo este un proceso transparente y objetivo, se podrá encontrar los requisitos mínimos, requisitos habilitantes, criterios de priorización y viabilización que se tienen en cuenta para cada fase del procedimiento, según corresponda. 
Por último, actualmente nos encontramos en la fase 2 del procedimiento (Presentación y/o postulación), la cual cerrará el 16 de mayo de 2025 según cronograma, que puede ser consultado en la página https://www.minjusticia.gov.co/programas-co/fortalecimiento-etnico/Paginas/Banco-de-Iniciativas-2025.aspx</t>
  </si>
  <si>
    <t>Causa 2: Injerencia de terceros en el proceso de selección de iniciativas y proyectos en el marco del Banco de Iniciativas y Proyectos.</t>
  </si>
  <si>
    <t>Posibles demandas o acciones judiciales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</si>
  <si>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</si>
  <si>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</si>
  <si>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El Grupo de Fortalecimiento a la Justicia étnica una vez se determinen las iniciativas priorizadas, verificará la validez de los requisitos y documentos que demuestren la relación de representación legal vigente, para efectos de contratar con la persona que esté legalmente habilitada para este efecto. En el caso de no poder realizar la verificación con el Ministerio del Interior, se verificarán otros documentos como la inscripción de autoridad en la Alcaldía correspondiente.</t>
  </si>
  <si>
    <t xml:space="preserve">Posibilidad de autorizar actuaciones de los centros de conciliación, arbitraje y amigable composición por fuera del marco normativo, omitir procesos sancionatorios o aplicación de procedimientos contrarios a la normativa vigente, con el fin de obtener beneficios particulares o favorecer a un tercero o a un centro. </t>
  </si>
  <si>
    <t xml:space="preserve">Desconocimiento del procedimiento y/o de la normatividad asociada por parte del grupo de Conciliación Extrajudicial en Derecho, Arbitraje y Amigable Composición (CEDAAC) perteneciente a la Dirección de Métodos Alternativos de Solución de Conflictos (DMASC). </t>
  </si>
  <si>
    <t>Pérdida de credibilidad en la gestión institucional del Programa Nacional  deConciliación Extrajudicial en Derecho, Arbitraje y Amigable Composición (CEDAAC)</t>
  </si>
  <si>
    <t>El(la) coordinador(a) del grupo de conciliación extrajudicial en derecho, arbitraje y amigable composición, el servidor designado por éste, o el enlace de calidad de la DMASC, al menos una vez al año realiza una capacitación o socialización a los miembros del grupo CEDAAC, con el fin de evitar interpretaciones erróneas y fortalecer el conocimiento sobre los lineamientos establecidos en el procedimiento y la normatividad asociada al proceso de control, inspección y vigilancia. Si no asiste la mayoría de los integrantes se envía el material a través del correo electrónico. 
Evidencia: soporte de asistencia a la capacitación o socialización con el material respectivo, correo de envío del material. 
Este control aplica para el grupo de conciliación extrajudicial en derecho, arbitraje y amigable composición.</t>
  </si>
  <si>
    <t>Realizar seguimiento periódico a la realización de las visitas de control, inspección y vigilancia</t>
  </si>
  <si>
    <t>Según aplique</t>
  </si>
  <si>
    <t>Director(a) de MASC con el apoyo del coordinador(a) del grupo CEDAAC</t>
  </si>
  <si>
    <t xml:space="preserve">Soporte del seguimiento periódico realizado a la realización de las visitas </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</si>
  <si>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llevó a cabo la socialización de la propuesta actualizada del procedimiento y de los instrumentos de visitas de control, inspección y vigilancia a los centros de conciliación, arbitraje y amigable composición con el Grupo de Conciliación Extrajudicial en Derecho, Arbitraje y Amigable Composición, con el fin de presentarla y fortalecer su aplicación, conforme con lo establecido en la normatividad vigente. Igualmente, se efectuó la socialización con la Directora y con el Viceministerio de Promoción de la Justicia. En mayo de 2025 se proyecta realizar la capacitación respectiva.
Frente al tratamiento establecido, en marzo de 2025 se realizó una reunión de seguimiento a las visitas de inspección, control y vigilancia que se efectúan sobre los centros de conciliación, arbitraje y amigable composición, en cumplimiento de la acción establecida en el plan de mejoramiento de Contraloría General de la República. </t>
    </r>
    <r>
      <rPr>
        <i/>
        <sz val="11"/>
        <rFont val="Calibri"/>
        <family val="2"/>
        <scheme val="minor"/>
      </rPr>
      <t xml:space="preserve">
</t>
    </r>
    <r>
      <rPr>
        <b/>
        <i/>
        <sz val="11"/>
        <rFont val="Calibri"/>
        <family val="2"/>
        <scheme val="minor"/>
      </rPr>
      <t>Evidencias</t>
    </r>
    <r>
      <rPr>
        <i/>
        <sz val="11"/>
        <rFont val="Calibri"/>
        <family val="2"/>
        <scheme val="minor"/>
      </rPr>
      <t xml:space="preserve">: Soportes de la socialización del procedimiento (actas, presentación, envio de documentos), acta de la sesión de seguimiento.
Link de evidencias carpeta denominada Control 1. Socialización lineamientos: </t>
    </r>
    <r>
      <rPr>
        <i/>
        <u/>
        <sz val="11"/>
        <color rgb="FF3366CC"/>
        <rFont val="Calibri"/>
        <family val="2"/>
        <scheme val="minor"/>
      </rPr>
      <t>https://minjusticiagovco-my.sharepoint.com/:f:/g/personal/mauricio_ordonez_minjusticia_gov_co/EqB4q9xZWEBKvtjLDoolypUBORFgtJyynmpvSUykAVQ1qA?e=R0rZIN</t>
    </r>
    <r>
      <rPr>
        <i/>
        <sz val="11"/>
        <rFont val="Calibri"/>
        <family val="2"/>
        <scheme val="minor"/>
      </rPr>
      <t xml:space="preserve">
</t>
    </r>
    <r>
      <rPr>
        <i/>
        <sz val="11"/>
        <color rgb="FFFF0000"/>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</si>
  <si>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t>Incorrecta interpretación de la normativa establecida, por parte del grupo de Conciliación Extrajudicial en Derecho, Arbitraje y Amigable Composición (CEDAAC) perteneciente a la Dirección de Métodos Alternativos de Solución de Conflictos (DMASC).</t>
  </si>
  <si>
    <t>Afectación a los usuarios que acceden a los servicios de los centros de conciliación, arbitraje y amigable composición</t>
  </si>
  <si>
    <t>El(la) coordinador(a) del grupo de conciliación extrajudicial en derecho, arbitraje y amigable composición, el servidor designado por éste, o el enlace de calidad de la DMASC, al menos una vez al año, con el fin de identificar situaciones que se hayan presentado o elementos que se deban fortalecer en el ejercicio de las funciones de control, inspección y vigilancia o en aplicación de los instrumentos establecidos, implementará medidas de seguimiento con los profesionales que atienden estos procesos (reuniones, comunicaciones, revisión de instrumentos, etc). 
Evidencias: soporte de las medidas de seguimiento implementadas.
Este control aplica para el grupo de conciliación extrajudicial en derecho, arbitraje y amigable composición.</t>
  </si>
  <si>
    <t>Realizar los ajustes que se requieran para corregir las situaciones que se identificaron en los procesos sancionatorios, acatando lo establecido en la normativa vigente y las demás consecuencias que de ello se deriven, según aplique.</t>
  </si>
  <si>
    <t>Soporte de la verificación efectuada a los procesos sancionatorios</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</si>
  <si>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se incorporó este control orientado a implementar medidas de seguimiento para fortalecer la ejecución de las visitas de control, inspección y vigilancia o en la aplicación de los instrumentos establecidos. En el marco de la actualización del procedimiento de visitas de control, inspección y vigilancia se realizaron trece (13) sesiones de trabajo para fortalecer los lineamientos y formatos establecidos, lo cual incidirá en el mejoramiento de estas diligencias. 
Frente al tratamiento establecido, en este periodo no se identificaron situaciones que deban corregirse en el marco de los procesos sancionatorios que desarrolla el Grupo de Conciliación Extrajudicial en Derecho, Arbitraje y Amigable Composición; por lo tanto, no se ha requerido realizar algún ajuste. </t>
    </r>
    <r>
      <rPr>
        <i/>
        <sz val="11"/>
        <rFont val="Calibri"/>
        <family val="2"/>
        <scheme val="minor"/>
      </rPr>
      <t xml:space="preserve">
</t>
    </r>
    <r>
      <rPr>
        <b/>
        <i/>
        <sz val="11"/>
        <rFont val="Calibri"/>
        <family val="2"/>
        <scheme val="minor"/>
      </rPr>
      <t>Evidencias</t>
    </r>
    <r>
      <rPr>
        <i/>
        <sz val="11"/>
        <rFont val="Calibri"/>
        <family val="2"/>
        <scheme val="minor"/>
      </rPr>
      <t xml:space="preserve">: actas de las sesiones de trabajo realizadas.
Link de evidencias carpeta denominada Control 2. Medidas de seguimiento: </t>
    </r>
    <r>
      <rPr>
        <i/>
        <u/>
        <sz val="11"/>
        <color rgb="FF3366CC"/>
        <rFont val="Calibri"/>
        <family val="2"/>
        <scheme val="minor"/>
      </rPr>
      <t>https://minjusticiagovco-my.sharepoint.com/:f:/g/personal/mauricio_ordonez_minjusticia_gov_co/EuTeAj4KvG9BtoGTHgCdWagBz6wABLaxtIHB_f9lU96VtA?e=Fm2oBd</t>
    </r>
    <r>
      <rPr>
        <i/>
        <sz val="11"/>
        <rFont val="Calibri"/>
        <family val="2"/>
        <scheme val="minor"/>
      </rPr>
      <t xml:space="preserve">
Nota: En este periodo se realizó la revisión y ajuste en su totalidad del mapa de riesgos de corrupción a cargo de la DMASC, con la asesoría y acompañamiento de la OAP. Además se incorporó este control.</t>
    </r>
  </si>
  <si>
    <t>Inadecuada revisión de la decisión de la sanción, por parte del grupo de Conciliación Extrajudicial en Derecho, Arbitraje y Amigable Composición (CEDAAC) perteneciente a la Dirección de Métodos Alternativos de Solución de Conflictos (DMASC).</t>
  </si>
  <si>
    <t>Investigaciones disciplinarias y sanciones para el personal del Ministerio de Justicia y del Derecho que intervino en el proceso</t>
  </si>
  <si>
    <t>El(la) coordinador(a) del grupo de conciliación extrajudicial en derecho, arbitraje y amigable composición, cada vez que se produzca una investigación con sanción, a fin de evitar una decisión errónea o que favorezca a alguna parte interesada incluyendo a quien proyecta la resolución, revisará y/o aprobará el proyecto de resolución donde se encuentra consignada la decisión de la investigación con sanción. Si al momento de la revisión de la resolución, identifica alguna situación o información inconsistente que pueda suponer un favorecimiento, se procederá a la revisión haciendo una consulta exhaustiva del expediente. 
Evidencia: Resoluciones de sanción con el visto bueno por parte del(la) coordinador(a) y matriz de seguimiento de estas resoluciones detallando los controles de elaboración, revisión y aprobación.
Este control aplica para el grupo de conciliación extrajudicial en derecho, arbitraje y amigable composición.</t>
  </si>
  <si>
    <t>Realizar los ajustes que se requieran en las decisiones de sanción objeto de la materialización del riesgo, acatando lo establecido en la normativa vigente, según aplique.</t>
  </si>
  <si>
    <t xml:space="preserve"> Soporte de los ajustes realizados a las decisiones de sanción</t>
  </si>
  <si>
    <r>
      <rPr>
        <i/>
        <u/>
        <sz val="11"/>
        <rFont val="Calibri"/>
        <family val="2"/>
        <scheme val="minor"/>
      </rPr>
      <t>No se materializó el riesgo, el control ha sido efectivo</t>
    </r>
    <r>
      <rPr>
        <i/>
        <sz val="11"/>
        <rFont val="Calibri"/>
        <family val="2"/>
        <scheme val="minor"/>
      </rPr>
      <t xml:space="preserve">
</t>
    </r>
    <r>
      <rPr>
        <sz val="11"/>
        <rFont val="Calibri"/>
        <family val="2"/>
        <scheme val="minor"/>
      </rPr>
      <t xml:space="preserve">
Con corte a abril de 2025, no se han gestionado actos administrativos de investigación con decisión de sanción, en el ejercicio de las funciones de control, inspección y vigilancia que se ejercen sobre los centros de conciliación, arbitraje y amigable composición. En consecuencia, en este periodo no se ha requerido aplicar el tratamiento establecido. </t>
    </r>
    <r>
      <rPr>
        <i/>
        <sz val="11"/>
        <rFont val="Calibri"/>
        <family val="2"/>
        <scheme val="minor"/>
      </rPr>
      <t xml:space="preserve">
</t>
    </r>
    <r>
      <rPr>
        <sz val="11"/>
        <rFont val="Calibri"/>
        <family val="2"/>
        <scheme val="minor"/>
      </rPr>
      <t xml:space="preserve">
</t>
    </r>
    <r>
      <rPr>
        <b/>
        <i/>
        <sz val="11"/>
        <rFont val="Calibri"/>
        <family val="2"/>
        <scheme val="minor"/>
      </rPr>
      <t xml:space="preserve">Evidencias: </t>
    </r>
    <r>
      <rPr>
        <i/>
        <sz val="11"/>
        <rFont val="Calibri"/>
        <family val="2"/>
        <scheme val="minor"/>
      </rPr>
      <t xml:space="preserve">No aplica. </t>
    </r>
    <r>
      <rPr>
        <sz val="11"/>
        <rFont val="Calibri"/>
        <family val="2"/>
        <scheme val="minor"/>
      </rPr>
      <t xml:space="preserve">
</t>
    </r>
    <r>
      <rPr>
        <i/>
        <sz val="11"/>
        <rFont val="Calibri"/>
        <family val="2"/>
        <scheme val="minor"/>
      </rPr>
      <t xml:space="preserve">Nota: En este periodo se realizó la revisión y ajuste en su totalidad del mapa de riesgos de corrupción a cargo de la DMASC, con la asesoría y acompañamiento de la OAP. </t>
    </r>
  </si>
  <si>
    <t>Diseñar, implementar, controlar y hacer seguimiento a los lineamientos, directrices y políticas para lagestión, administración y control de la información de responsabilidad del Ministerio de Justicia y del Derecho, que permitan la organización,control, estandarización, difusión y conservación de esta, dando cumplimiento al marco normativo y legal del Gobierno Nacional.</t>
  </si>
  <si>
    <t>Posibilidad de aprovechamiento indebido, pérdida o mal uso de la información reservada de la entidad para obtener beneficios en provecho de sí mismo o de un tercero a raíz de la utilización fraudulenta de información privilegiada o reservada, por la falta de controles para su acceso</t>
  </si>
  <si>
    <t>La Inexistencia de un control de acceso a la información privilegiada.</t>
  </si>
  <si>
    <t>Pérdida de imagen institucional
Investigaciones disciplinarias,
Sanciones</t>
  </si>
  <si>
    <t>El profesional o equipo de trabajo realiza la activación, modificación o desactivación de una credencial  en cumplimiento del procedimiento  (P-TI-02 Gestión de acceso a recursos informáticos), a través del cual  se aplica para los sistemas de información y herramientas tecnológicas, entregando los  accesos  solicitados a través mesa de ayuda segun el rol que corresponda.
Evidencia:
- Reporte  de mesa de ayuda con el listado  de solicitudes registradas,atendidas y cerradas por concepto de gestión de cuentas de usuario para acceso a sistemas de información y herramientas tecnológicas.</t>
  </si>
  <si>
    <t>Aplicación de controles de acceso a los repositorios de información</t>
  </si>
  <si>
    <t>Cuatrimestral</t>
  </si>
  <si>
    <t>Subdirector de Tecnologías y Sistemas de Información</t>
  </si>
  <si>
    <t>Acta de verificación de accesos</t>
  </si>
  <si>
    <r>
      <rPr>
        <sz val="11"/>
        <rFont val="Calibri"/>
        <family val="2"/>
        <scheme val="minor"/>
      </rPr>
      <t>Se adjuntan evidencias con la matriz de solicitudes registradas y gestionadas a través del aplicativo Aranda, correspondientes a la gestión de accesos de funcionarios durante el primer cuatrimestre del año 2025</t>
    </r>
    <r>
      <rPr>
        <u/>
        <sz val="11"/>
        <color theme="10"/>
        <rFont val="Calibri"/>
        <family val="2"/>
        <scheme val="minor"/>
      </rPr>
      <t>.
Evidencias Riesgo 3</t>
    </r>
  </si>
  <si>
    <t>Posibilidad de perdida reputacional por recibir o solicitar cualquier dádiva o beneficio a nombre propio o de terceros, con el fin de conceder el beneficio jurídico del indulto sin el lleno de los requisito legales al recibir presiones para su otorgamiento</t>
  </si>
  <si>
    <t>Verificación erronea de la documentación que hace parte del trámite.</t>
  </si>
  <si>
    <t>Obtencion del indulto sin cumplimiento de los requisitos.
Procesos Penales y disciplinarios</t>
  </si>
  <si>
    <t>El coordinador del grupo de accciones legales y constitucionales,  el (la) Director(a) de Justicia Transicional, El Viceministro de Política Crimminal y el Director Jurídico, en el marco de sus competencias y cada vez que se vaya a expedir el proyecto de resolución a través del cual se decide la solicitud de indulto,  revisará la información del expediente y el proyecto de resolución emitido por el profesional que realizó la verificación inicial, de acuerdo al flujo de aprobación establecido en el procedimiento P-CR-16, para la correcta expedición. 
La evidencia de este control es, los vistos buenos del proyecto de resolución.</t>
  </si>
  <si>
    <t>Solicitar apoyo al Grupo de Gestión Humana para realizar capacitaciones de la apropiación del Código de Etica, al interior del Grupo de Acciones Legales y Constitucionales</t>
  </si>
  <si>
    <t>Lista de asistencia</t>
  </si>
  <si>
    <t>Carencia de valores morales y eticos del servidor público</t>
  </si>
  <si>
    <t xml:space="preserve">Molestias al interior del equipo
Falta de compromisos laborales
Procesos Penales y disciplinarios
</t>
  </si>
  <si>
    <t>Realizar acciones de socialización a la ciudadanía sobre los requisitos para el acceso al indulto</t>
  </si>
  <si>
    <t>Manipulación o adulteración de la documentación</t>
  </si>
  <si>
    <t>Amenazas a la vida e integridad del servidor público</t>
  </si>
  <si>
    <t>Obtencion del indulto sin cumplimiento de los requisitos
Procesos Penales</t>
  </si>
  <si>
    <t>Generar acciones que contribuyan a la implementación de la política pública de drogas y criminal y penitenciaria, de los
mecanismos de cooperación juridica internacional y la justicia transicional con el fin de fortalecer la gestión publica entorno a lucha contra la criminalidad y
reincidencia</t>
  </si>
  <si>
    <t xml:space="preserve">
Posibilidad de afectación reputacional y económica por el otorgamiento de licencias de cannabis sin el cumplimiento de los requisitos legales establecidos y/o alteración del proceso de expedición de licencias debido a acciones de manipulación y/o entorpecimiento el proceso de licenciamiento por parte de los profesionales que intervienen en el trámite motivados por intereses personales o con el proposito de favorecer a terceros.  </t>
  </si>
  <si>
    <t>Prebendas a los ingenieros agrónomos en el marco de las visitas técnicas.</t>
  </si>
  <si>
    <t>Otorgamiento de licencias sin cumplir con los requisitos
Investigaciones Disciplinarias
Sanciones 
Afectación de la imagen institucional</t>
  </si>
  <si>
    <t>El programador al momento de asignar los procesos a los diferentes evaluadores deberá verificar las visitas asignadas a cada ingeniero agrónomo, de modo que quien realice la visita sea un profesional diferente a quien revise la solicitud.
Asignación de visitas - OneDrive
Traza en el MICC</t>
  </si>
  <si>
    <t xml:space="preserve">Realización de una encuesta de percepción de la conducta del técnico que realizó la visita, con el fin de identificar mejoras o presuntos actos de corrupción. </t>
  </si>
  <si>
    <t>Subdirección de Control y Fiscalización de Sustancias Químicas y Estupefacientes</t>
  </si>
  <si>
    <t>Informe cuatrimestral que refleje los resultados de la encuesta aplicada y las mejoras o acciones implementadas.</t>
  </si>
  <si>
    <r>
      <rPr>
        <sz val="10"/>
        <color rgb="FF000000"/>
        <rFont val="Arial"/>
        <family val="2"/>
      </rPr>
      <t xml:space="preserve">Durante el primer cuatrimestre 2025, el riesgo no se ha materializado y el control ha sido efectivo. 
</t>
    </r>
    <r>
      <rPr>
        <b/>
        <sz val="10"/>
        <color rgb="FF000000"/>
        <rFont val="Arial"/>
        <family val="2"/>
      </rPr>
      <t xml:space="preserve">Control:
</t>
    </r>
    <r>
      <rPr>
        <sz val="10"/>
        <color rgb="FF000000"/>
        <rFont val="Arial"/>
        <family val="2"/>
      </rPr>
      <t>Durante este período se realizaron 19</t>
    </r>
    <r>
      <rPr>
        <sz val="10"/>
        <color rgb="FFFF0000"/>
        <rFont val="Arial"/>
        <family val="2"/>
      </rPr>
      <t xml:space="preserve"> </t>
    </r>
    <r>
      <rPr>
        <sz val="10"/>
        <color rgb="FF000000"/>
        <rFont val="Arial"/>
        <family val="2"/>
      </rPr>
      <t xml:space="preserve">visitas. La información correspondiente a las actas de visita se carga en el repositorio de la Subdirección. Estas actas son verificadas por un integrante del área técnica que las recepciona, por la líder del grupo cuando sea necesario, y por el técnico responsable del trámite. Las visitas corresponden a trámites de primera vez y a modificaciones por inclusión de predios, en las cuales el evaluador del trámite es diferente de quien ejecuta la visita.
Como evidencia queda:
-Carpeta con actas de visita y base de datos.
</t>
    </r>
    <r>
      <rPr>
        <b/>
        <sz val="10"/>
        <color rgb="FF000000"/>
        <rFont val="Arial"/>
        <family val="2"/>
      </rPr>
      <t xml:space="preserve">Acción:
</t>
    </r>
    <r>
      <rPr>
        <sz val="10"/>
        <color rgb="FF000000"/>
        <rFont val="Arial"/>
        <family val="2"/>
      </rPr>
      <t xml:space="preserve">La selección de las visitas a realizar son las que reporta el MICC y que hayan pasado por visto bueno por el área de licenciamiento, una vez se da el aval, la persona encargada de asignar las visitas, identifica la disponibilidad de los profesionales, en la trazabilidad de MICC en usuarios de consulta es posible verificar qué ingeniero revisó el expediente, y se asigna la visita a otro profesional, adicionalmente, se busca que se haga uso eficiente de los recursos en la programación, adicionalmente, en la trazabilidad de Micc se podrá observar que en la opción seguimiento de solicitud en el reporte de solicitudes de licencia, en el estado Etapa 1- Técnico, se podrá evidenciar el nombre del evaluador técnico asignado, el cual difiere de quien realizó la visita, como se puede determinar en el acta de visita en quien realizó la visita.
Como evidencia queda: Documento evidencias trazabilidad MICC de visitas previas.
</t>
    </r>
    <r>
      <rPr>
        <b/>
        <i/>
        <sz val="10"/>
        <color rgb="FF000000"/>
        <rFont val="Arial"/>
        <family val="2"/>
      </rPr>
      <t xml:space="preserve">Nota: Se precisa que, teniendo en cuenta la actualización de los riesgos y controles que actualmente se encuentra en curso y a las instrucciones recibidas por parte de la OAP, se realiza el presente seguimiento sobre el control y plan de tratamiento que está resaltado en rojo. Lo anterior, teniendo en cuenta que por la prontitud del reporte y el cambio de fondo de las acciones propuestas en color verde, se realizará el seguimiento a partir del segundo cuatrimestre. </t>
    </r>
  </si>
  <si>
    <t>Manipulación indebida de la información por parte de los profesionales que intervienen en el trámite.</t>
  </si>
  <si>
    <t xml:space="preserve">Las personas designadas por el Grupo de Control de Cannabis para llevar a cabo los trámites de Licencias de Cannabis, obtendrán el acceso al MICC a través de la asignación de un perfil acorde a las funciones a realizar y al rol establecido con el objetivo de controlar el acceso a la información de las solicitudes. En el caso que una o más personas soliciten acceso a información que no corresponde a las funciones asignadas, las personas encargadas al interior de la Subdirección informarán del hecho al coordinador del grupo Control de Cannabis. Adicionalmte, una vez se desvincule el personal de planta o el contratista, se deberá desactivar el correspondiente usuario.
Como evidencia quda: 
Trazabilidad en el MICC donde se evidencian los roles. 
Correo de solicitud al profesional de sistemas de Subdirección encargado de la asignación de roles. </t>
  </si>
  <si>
    <t>El abogado a cargo del trámite proyecta el acto administrativo y lo carga en la plataforma MICC, lo debe remitir al abogado par asignado quien será el encargado de verificar el cumplimiento de los requisitos generales y especificos del trámite contemplados en la normatividad vigente y a la vez, corrobora que la información que reposa en el acto administrativo este de manera correcta. En caso de que el revisor par observe alguna inconsistencia devuelve el expediente al abogado inicial junto con las observaciones pertinentes. Una vez, el abogado inicial realiza los ajustes señalados (si se requiere) se obtiene el visto bueno por parte del abogado par.</t>
  </si>
  <si>
    <t xml:space="preserve">
Como evidencia queda:
 Pantallazo de trazabilidad en MICC donde se realiza la validación por parte del abogado par y se otorga o se niega el visto bueno. </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</si>
  <si>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Se llevó a cabo la activación de los usuarios en el MICC a los diferentes profesionales que intervienen en los diversos trámites de licencias de cannabis con los permisos de acuerdo a la naturaleza del cargo y de las funciones a desempeñar durante el período contratado. Estas solicitudes se realizan mediante correo electrónico al encargado del equipo de Sistemas para su respectiva activación. 
Como evidencia queda: 
Correos de solicitud de activación de usuarios MICC.
</t>
    </r>
    <r>
      <rPr>
        <b/>
        <sz val="10"/>
        <color rgb="FF000000"/>
        <rFont val="Arial"/>
        <family val="2"/>
      </rPr>
      <t>PLAN DE TRATAMIENTO:</t>
    </r>
    <r>
      <rPr>
        <sz val="10"/>
        <color rgb="FF000000"/>
        <rFont val="Arial"/>
        <family val="2"/>
      </rPr>
      <t xml:space="preserve"> 
Se llevó a cabo la revisión del par jurídico en los trámites de licenciamiento. El par jurídico, puede realizar las devoluciones  que considere pertinentes para la respectiva corrección por parte del abogado que está a cargo del trámite. 
Una vez surtidas las etapas de revisión por pares, es enviado el borrador del acto administrativo al líder jurídico quien es el encargado de realizar la revisión final de fondo tanto del expediente como del acto administrativo proyectado, este se asegura de que este conforme a lo establecido en la normatividad vigente.
Como evidencia queda: 
Muestra de trámites de licenciamiento en donde se llevan a cabo las revisiones tanto del par jurídico como del líder. </t>
    </r>
  </si>
  <si>
    <t xml:space="preserve">Posibilidad de afectación reputacional y económica  al otorgar el Certificado de Carencia de Informes por Tráfico de Estupefacientes y autorizaciones extraordinarias sin el cumplimiento de los requisitos debido a acciones de manipulación y/o entorpecimiento del trámite por parte de los profesionales que evalúan las solicitudes, motivados por intereses personales o con el proposito de favorecer a terceros. </t>
  </si>
  <si>
    <t>Expedir el certificado de carencia a una persona con informes por tráfico de estupefacientes
Permitir el desvío de sustancias químicas controladas para la producción ilícita de drogas
libre circulación de la cadena de producción de estupefacientes con sujeción a un certificado de carencia de informes por tráfico de estupefacientes indebidamente expedido</t>
  </si>
  <si>
    <t xml:space="preserve">Las personas designadas por el Grupo de Control de Sustancias Químicas para llevar a cabo los trámites de Certificado de Carencia de Informes por Tráfico de Estupefacientes, a fin de controlar el acceso a la información de las solicitudes, obtendrán el acceso al SICOQ a través de la asignación de un perfil acorde a las funciones a realizar y al rol establecido. En el caso que una o más personas soliciten acceso a información que no corresponde al proceso asignado, las personas encargadas al interior de la subdirección informarán del hecho al coordinador del grupo Control de Sustancias Químicas.
Como evidencia queda: 
Trazabilidad en el SICOQ donde se evidencian los roles. 
Correo de solicitud al profesional de sistemas de Subdirección encargado de la asignación de roles. </t>
  </si>
  <si>
    <r>
      <t xml:space="preserve">
</t>
    </r>
    <r>
      <rPr>
        <sz val="10"/>
        <rFont val="Arial"/>
        <family val="2"/>
      </rPr>
      <t xml:space="preserve">
Se realizará una revisión por parte del grupo de sistemas para validar la desactivación de permisos y roles de los funcionarios o contratistas que se desvinculen.</t>
    </r>
  </si>
  <si>
    <t xml:space="preserve">Base de datos que relaciona la desactivación de usuarios de la plataforma SICOQ. </t>
  </si>
  <si>
    <r>
      <rPr>
        <sz val="10"/>
        <color rgb="FF000000"/>
        <rFont val="Arial"/>
        <family val="2"/>
      </rPr>
      <t xml:space="preserve">Durante el primer cuatrimestre de la vigencia 2025, el riesgo no se ha materializado y su control fue efectivo.
</t>
    </r>
    <r>
      <rPr>
        <b/>
        <sz val="10"/>
        <color rgb="FF000000"/>
        <rFont val="Arial"/>
        <family val="2"/>
      </rPr>
      <t>Control:</t>
    </r>
    <r>
      <rPr>
        <sz val="10"/>
        <color rgb="FF000000"/>
        <rFont val="Arial"/>
        <family val="2"/>
      </rPr>
      <t xml:space="preserve"> Durante el período reportado se crearon tres (4) usuarios en el aplicativo SICOQ, correspondientes a roles técnicos y jurídicos. Estos usuarios fueron incorporados al grupo de Sustancias Químicas de la Subdirección, conforme a la solicitud realizada por los mismos tras la firma de sus respectivos contratos. Lo anterior, con el objetivo de que puedan acceder al aplicativo y gestionar los trámites asignados a cada profesional.
Como evidencia queda:
-Correos de solicitud de creación de usuarios.
-Documento con los Roles_SICOQ 
</t>
    </r>
    <r>
      <rPr>
        <b/>
        <sz val="10"/>
        <color rgb="FF000000"/>
        <rFont val="Arial"/>
        <family val="2"/>
      </rPr>
      <t>Acción</t>
    </r>
    <r>
      <rPr>
        <sz val="10"/>
        <color rgb="FF000000"/>
        <rFont val="Arial"/>
        <family val="2"/>
      </rPr>
      <t>:Durante el primer cuatrimestre 2025, se lleva a cabo la validación de los usuarios activos e inactivos en el sistema de información SICOQ. El objetivo de este proceso es verificar que únicamente los profesionales (contratistas y/o de planta) que estén laborando para la SCFSQE durante la vigencia del periodo estén activos en el sistema. Esta medida busca mitigar el riesgo asociado a la gestión de usuarios en el sistema</t>
    </r>
    <r>
      <rPr>
        <b/>
        <sz val="10"/>
        <color rgb="FF000000"/>
        <rFont val="Arial"/>
        <family val="2"/>
      </rPr>
      <t>.</t>
    </r>
  </si>
  <si>
    <t xml:space="preserve">Prebendas a los ingenieros químicos, personal juridico y personal técnico. </t>
  </si>
  <si>
    <t>Los funcionarios y/o contratistas asignados por la Subdirección de Control y Fiscalización de Sustancias Químicas y Estupefacientes- Grupo Control de Sustancias Químicas cada vez que llegue una solicitud para el trámite de expedición de CCITE realizaran validación juridica y tecnica conforme al marco normativo vigente, esta actividad se llevará a cabo por medio del SICOQ; en caso de no cumplir con los requisitos estipulados en el marco normativo, se deberá realizar el requerimiento al usuario solicitante. 
Posterior a la revisión inicial, el revisor final de la solicitud para el trámite de expedición de CCITE validara el cumplimiento de los requisitos juridicos, tecnicos, antecedentes por el delito de la ley 30 verificación y corroboración del pago generado. En caso de incumplir con alguno de los requisitos anteriormente mencionados, se deberá realizar la devolución al profesional que proyectó para su corrección antes de ser expedido el CCITE.</t>
  </si>
  <si>
    <t>En caso de que se reciba una solicitud de datos personales del profesional que este llevando a cabo un trámite interés del usuario, Los miembros del Grupo de Control de Sustancias Químicas informarán que los canales autorizados son el correo electronico hábilitado por la entidad para tramitar PQRS (gestion.documental@minjusticia.gov.co) y la página del Ministerio a través de la Ventanilla Virtual. También se indicará que puede remitirse al micrositio en donde se encuentra información relevante acerca del trámite como lo son capacitaciones, instructivos, normativa vigente entre otros. En el caso que el solicitante del trámite reitere el requerimiento, se pondrá en conocimiento del Subdirector(a).</t>
  </si>
  <si>
    <t xml:space="preserve">Solicitudes externas e internas por los canales autorizados - SGDEA - correo de certificadosdecarencia@minjusticia.gov.co - línea de atención al cliente. 
</t>
  </si>
  <si>
    <r>
      <rPr>
        <sz val="10"/>
        <color rgb="FF000000"/>
        <rFont val="Arial"/>
        <family val="2"/>
      </rPr>
      <t xml:space="preserve">Durante la vigencia del primer cuatrimestre de 2025, el riesgo no se ha materializado y el control ha sido efectivo. Se realizaron las siguientes actividades, con la finalidad de mitigar el riesgo.
</t>
    </r>
    <r>
      <rPr>
        <b/>
        <sz val="10"/>
        <color rgb="FF000000"/>
        <rFont val="Arial"/>
        <family val="2"/>
      </rPr>
      <t xml:space="preserve">Control: </t>
    </r>
    <r>
      <rPr>
        <sz val="10"/>
        <color rgb="FF000000"/>
        <rFont val="Arial"/>
        <family val="2"/>
      </rPr>
      <t>Los profesionales de la Subdirección de Control y Fiscalización de Sustancias Químicas y Estupefacientes- Grupo Control de Sustancias Químicas, realizaron la validación juridica y tecnica de la solicitud, conforme al marco normativo vigente, se realizaron requerimientos por medio de SICOQ, a los solicitantes que no cumplieron con los requerimientos iniciales de la solicitud, se adjunta como evidencia una muestra de los requerimientos realizados</t>
    </r>
    <r>
      <rPr>
        <b/>
        <sz val="10"/>
        <color rgb="FF000000"/>
        <rFont val="Arial"/>
        <family val="2"/>
      </rPr>
      <t xml:space="preserve">.
</t>
    </r>
    <r>
      <rPr>
        <sz val="10"/>
        <color rgb="FF000000"/>
        <rFont val="Arial"/>
        <family val="2"/>
      </rPr>
      <t>Luego de realizar el estudio integral de los tramites asignados para la expedición de Certificado de Carencia de Informes por Trafico de Estupefacientes - CCITE; al evidenciar que exiten errores dentro de la revisión inicial del trámite, se procede a devolver el mismo para que sea asignado al abogado encargado para que subsane mediante mesa de trabajo lo que haga falta y poder dar impulso a la solicitud, esto en virtud de actividades de mejoramiento de los procedimientos administrativos</t>
    </r>
    <r>
      <rPr>
        <b/>
        <sz val="10"/>
        <color rgb="FF000000"/>
        <rFont val="Arial"/>
        <family val="2"/>
      </rPr>
      <t xml:space="preserve">.
</t>
    </r>
    <r>
      <rPr>
        <sz val="10"/>
        <color rgb="FF000000"/>
        <rFont val="Arial"/>
        <family val="2"/>
      </rPr>
      <t xml:space="preserve">Como evidencia queda:
-Carpeta con correos devolución de tramite
-Carpeta con requerimientos al usuario.
</t>
    </r>
    <r>
      <rPr>
        <b/>
        <sz val="10"/>
        <color rgb="FF000000"/>
        <rFont val="Arial"/>
        <family val="2"/>
      </rPr>
      <t xml:space="preserve">
Acción: </t>
    </r>
    <r>
      <rPr>
        <sz val="10"/>
        <color rgb="FF000000"/>
        <rFont val="Arial"/>
        <family val="2"/>
      </rPr>
      <t>Con el propósito de reducir la probabilidad de materialización del riesgo, se dispone la implementación de un único canal de atención institucional, destinado a prevenir eventuales prebendas a los ingenieros químicos, personal juridico y técnico.
Como evidencia queda:
-Documento que muestra los canales de atención.</t>
    </r>
  </si>
  <si>
    <t>Posibilidad de no reflejar la realidad económica en los estados financieros de la entidad, por subestimarndo los registros contables al  manipular los valores reales de los hechos económicos  para beneficio de los funcionarios que intervienen en el proceso o de los licenciatarios  al momento de registrar las cuentas por cobrar de licencias de cannabis otorgadas en la modalidad de cuotas.</t>
  </si>
  <si>
    <t>Suministrar  o registrar información errada</t>
  </si>
  <si>
    <t>Investigaciones disciplinarias, ficales, penales, 
Detrimento patrimonial
Mala imagen institucional</t>
  </si>
  <si>
    <t xml:space="preserve">El encargado del grupo financiero asignado por la Subdirección, mensualmente envia al GGFC el informe de cuentas por cobrar de los licenciatarios a los cuales se les ha otorgado licencias de cannabis por la modalidad de cuotas con el objetivo de validar que se registre la totalidad de los hechos económicos, en el evento de que se generen diferencias en la conciliación se registrará la situación en campo de observaciones y se hará seguimiento en la siguiente conciliación para solucionar la observación presentada. El GGFC, envia a la SCFSQyE la conciliación de cuentas por cobrar donde se verifica que todo lo reportado se encuentra registrado en SIIF Nación. 
Como evidencia queda:  
Informes y conciliaciones  mensuales de cuentas por cobrar. </t>
  </si>
  <si>
    <t xml:space="preserve">El líder del grupo financiero de la Subdirección, elabora trimestralmente un informe de seguimiento con la gestión adelantada respecto a los movimientos de cartera relacionados con las licencias de cannabis. </t>
  </si>
  <si>
    <t>trimestral</t>
  </si>
  <si>
    <t>Informe de gestión trimestral equipo financiero de la SCFSQyE.</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</si>
  <si>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Como medida de control para administrar la probabilidad de ocurrencia del riesgo, desde la SCFSQyE se realiza el informe de cuentas por cobrar y movimiento de los ingresos de la cartera de Cannabis del mes inmediatamente anterior, los cuales son remitidos al Grupo de Gestión Financiera y Contable para la elaboración de los cierres contables, dentro de los primeros diez (10) días de cada mes. 
Como evidencia queda: 
Carpeta mensual que contiene: 
-Matriz excel con reporte de cuentas por cobrar de enero, febrero y marzo. 
-Matriz de excel con consolidado de cuentas por cobrar de licencias de cannabis de enero, febrero y marzo. 
-Matriz excel con movimientos mes a mes. 
-Correo de comunicación al Grupo de Gestión Financiera y Contable por parte del líder jurídico de la SCFSQyE. 
</t>
    </r>
    <r>
      <rPr>
        <b/>
        <sz val="10"/>
        <color rgb="FF000000"/>
        <rFont val="Arial"/>
        <family val="2"/>
      </rPr>
      <t xml:space="preserve">Nota: </t>
    </r>
    <r>
      <rPr>
        <sz val="10"/>
        <color rgb="FF000000"/>
        <rFont val="Arial"/>
        <family val="2"/>
      </rPr>
      <t xml:space="preserve">Teniendo en cuenta la fecha de solicitud del presente reporte, el informe de cuentas por cobrar y movimiento de los ingresos de la cartera de Cannabis del mes de abril, se cargará en el próximo seguimiento. 
</t>
    </r>
    <r>
      <rPr>
        <b/>
        <sz val="10"/>
        <color rgb="FF000000"/>
        <rFont val="Arial"/>
        <family val="2"/>
      </rPr>
      <t xml:space="preserve">PLAN DE TRATAMIENTO:
</t>
    </r>
    <r>
      <rPr>
        <sz val="10"/>
        <color rgb="FF000000"/>
        <rFont val="Arial"/>
        <family val="2"/>
      </rPr>
      <t>Se elabora el informe de gestión trimestral el cual tiene como objetivo presentar un análisis detallado del desempeño del proceso frente al trámite de las licencias de cultivo de plantas de cannabis, tanto al contado como a cuotas; así como, de la gestión de cartera asociada, durante el periodo evaluado.
A demás permite también identificar avances, tendencias y áreas de mejora en la operación, garantizando la transparencia en la gestión y proporcionando información clave para la toma de decisiones estratégicas que optimicen la eficiencia del proceso y mejoren los resultados financieros.
Como evidencia queda: 
Informe de gestión primer trimestre - equipo Financiero de la SCFSQyE</t>
    </r>
  </si>
  <si>
    <t>La no liquidación de los intereses moratorios con la tasa correcta</t>
  </si>
  <si>
    <t>El equipo financiero de la SCFSQyE realiza los correspondientes estados de cuenta para cada licenciatario en el marco de las actividades de seguimiento y control, en donde se verifican datos como la fecha de la constancia de ejecutaria de las licencias que determinan las fechas para empezar a cobrar las cuotas de seguimiento y así mismo los intereses moratorios que le aplican, este estado de cuenta es revisado por el líder del equipo financiero. 
Evidencia: Estados de cuenta</t>
  </si>
  <si>
    <t xml:space="preserve">En los casos en que aplique y como resultado del análisis realizado por el grupo financiero de la SCFSQyE, se comunicará al grupo de Sistemas sobre las inconsistencias identificadas y que estén relacionadas con el módulo de novedades de la plataforma MICC para que se realicen las correcciones necesarias. </t>
  </si>
  <si>
    <t>En proceso</t>
  </si>
  <si>
    <t xml:space="preserve">Correos o trazabilidad en el MICC. </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</si>
  <si>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CONTROL: 
</t>
    </r>
    <r>
      <rPr>
        <sz val="10"/>
        <color rgb="FF000000"/>
        <rFont val="Arial"/>
        <family val="2"/>
      </rPr>
      <t xml:space="preserve">
Desde el Equipo Financiero se revisan los soportes de pago allegados por las sociedades licenciatarias a través del SGDEA o por el aplicativo MICC, los cuales son verificados contra con los movimientos que refleja el extracto bancario de la cuenta de cannabis; posteriormente se actualiza y carga la información tanto en la matriz de Excel "Seguimiento de Cuentas por Cobrar" como en el aplicativo MICC.
Adicionalmente, el Equipo Financiero en la vigencia 2025, diseño un control, el cual consiste en revisar mes a mes los ingresos, para además de identificarlos, poder determinar cuáles de ellos cuentan con el soporte de pago y cuales no; en los casos en los que no se cuente con el soporte de pago, se procede a realizar un oficio, a través del cual se les pide a los licenciatarios la copia del recibo de pago, para lo cual tendrán un tiempo de 10 días hábiles para dar respuesta, si pasados los 10 día el licenciatario no aporta la copia del recibo, se procede a solicitar a los profesionales las construcción del mismo, conforme fue autorizado por la entidad en la vigencia 2024 "(...) manifestando como salvedad que el soporte que se cargue al aplicativo, se hará con el formato de identificación construido por el funcionario que consulta el banco junto con el movimiento de la hoja del extracto correspondiente, donde se confirma el ingreso al banco con el detalle del movimiento resaltado(...)" . Esto con el fin, de realizar de manera oportuna la aplicación de los pagos en el sistema MICC y evitar inconvenientes a futuro.
Como evidencia queda: 
-Matriz excel denominada "Control soportes de pago"
-Correos del encargado del grupo financiero solicitando la construcción de soportes de pago. 
</t>
    </r>
    <r>
      <rPr>
        <b/>
        <sz val="10"/>
        <color rgb="FF000000"/>
        <rFont val="Arial"/>
        <family val="2"/>
      </rPr>
      <t xml:space="preserve">PLAN DE TRATAMIENTO:
</t>
    </r>
    <r>
      <rPr>
        <sz val="10"/>
        <color rgb="FF000000"/>
        <rFont val="Arial"/>
        <family val="2"/>
      </rPr>
      <t xml:space="preserve">
Los servidores y/o contratistas del Equipo Financiero, al momento de realizar el análisis y cargue de los soportes de pago correspondientes a los servicios de evaluación y seguimiento en el MICC, comunican al equipo de Sistemas de la Subdirección las inconsistencias identificadas y que estén relacionadas con el módulo de novedades de la plataforma MICC para que se realicen las correcciones necesarias y se asegure la consistencia de los datos.
Como evidencia queda: 
Matriz excel que contiene el listado de novedades financieras</t>
    </r>
  </si>
  <si>
    <t xml:space="preserve">No adelantar las actuaciones administrativas necesarias para recuperar las cuentas por cobrar identificadas de las licencias de cannabis. </t>
  </si>
  <si>
    <t xml:space="preserve">El grupo financiero de la Subdirección, debe verificar la información registrada en el MICC, cuando se evidencie que los licenciatarios no han cumplido con lo pactado respecto a los pagos determinados en el acto administrativo, se proyecta un oficio mediante SGDEA requiriendo el pago de las cuotas o  allegando los comprobantes de pago realizados. En caso de presentar inconsistencias relacionados con la información que reposa dentro del oficio, se devuelve al funcionarios que lo proyectó para su modificación y ajuste. Como evidencia se cuenta con la trazabilidad en el SGDEA. Teniendo en cuenta lo estipulado en la normatividad vigente, los pagos correspondientes a las cuotas deben realizarse en Enero de cada anualidad, por lo anterior, los oficios de requerimiento se emitirán como mínimo (2) veces en el año. </t>
  </si>
  <si>
    <t>Conforme a lo establecido en el procedimiento P-CR-18 "Seguimiento pagos y cuentas por cobrar - Licencias de Cannabis", el grupo financiero conformará el expediente para dar traslado al equipo jurídico del grupo cannabis para liquidación de deuda e iniciar del proceso sancionatorio. (Para los casos en que no se logre el recaudo por medio de las comunicaciones preventivas)</t>
  </si>
  <si>
    <t>Correo electrónico de traslado emitido por el Grupo Financiero al grupo jurídico de la Subdirección con el expediente digital conformado para iniciar la liquidación de deuda.</t>
  </si>
  <si>
    <r>
      <rPr>
        <sz val="10"/>
        <color rgb="FF000000"/>
        <rFont val="Arial"/>
        <family val="2"/>
      </rPr>
      <t xml:space="preserve">Durante el primer cuatrimestre de 2025, el riesgo no se ha materializado y el control ha sido efectivo. 
</t>
    </r>
    <r>
      <rPr>
        <b/>
        <sz val="10"/>
        <color rgb="FF000000"/>
        <rFont val="Arial"/>
        <family val="2"/>
      </rPr>
      <t xml:space="preserve">
CONTROL: 
</t>
    </r>
    <r>
      <rPr>
        <sz val="10"/>
        <color rgb="FF000000"/>
        <rFont val="Arial"/>
        <family val="2"/>
      </rPr>
      <t>Para administrar y/o minimizar el riesgo, el equipo Finaciero de la SCFSQyE, verifica el estado de cuenta de las sociedades licenciatarias pendientes del pago de sus obligaciones por concepto de las cuotas de servicio de seguimiento; En febrero de 2025, se estableció como plan de trabajo, que en primera instancia se requerirán a aquellos licenciatarios que se encuentran en calificación de cartera C y D para lo cual, durante el período del 01 de febrero a 25 de abril del 2025, se enviaron un total de 167</t>
    </r>
    <r>
      <rPr>
        <sz val="10"/>
        <color rgb="FFFF0000"/>
        <rFont val="Arial"/>
        <family val="2"/>
      </rPr>
      <t xml:space="preserve"> </t>
    </r>
    <r>
      <rPr>
        <sz val="10"/>
        <color rgb="FF000000"/>
        <rFont val="Arial"/>
        <family val="2"/>
      </rPr>
      <t xml:space="preserve">requerimientos de pago, a traves del gestor documental de la entidad. 
Como evidencia queda: 
Matriz excel que contiene los requerimientos realizados durante el primer cuatrimestre de 2025.
</t>
    </r>
    <r>
      <rPr>
        <sz val="10"/>
        <color rgb="FFFF0000"/>
        <rFont val="Arial"/>
        <family val="2"/>
      </rPr>
      <t xml:space="preserve">
</t>
    </r>
    <r>
      <rPr>
        <b/>
        <sz val="10"/>
        <color rgb="FF000000"/>
        <rFont val="Arial"/>
        <family val="2"/>
      </rPr>
      <t xml:space="preserve">PLAN DE TRATAMIENTO:
</t>
    </r>
    <r>
      <rPr>
        <sz val="10"/>
        <color rgb="FF000000"/>
        <rFont val="Arial"/>
        <family val="2"/>
      </rPr>
      <t>Durante el período evaluado (01 de enero al 28 de abril de 2025), el Equipo Financiero actualizó 59 expedientes de los 409 remitidos en la vigencia anterior. De igual manera, se conformó 55 nuevos expedientes los cuales se remitieron al Grupo Jurídico de la Subdirección. 
Este proceso se realiza en cumplimiento de procedimiento P-CR-18 “Seguimiento de pagos y cuentas por cobrar licencias de cannabis”, el cual tiene como propósito iniciar el procedimiento sancionatorio en los casos que haya lugar y/o liquidación de la deuda para cobro coactivo.
Como evidencia queda: 
Matriz excel que contiene los expedientes remitidos 2025.</t>
    </r>
  </si>
  <si>
    <t>Determinar la posible responsabilidad y/o si los hechos son o no constitutivos de falta disciplinaria de los funcionarios o exfuncionarios públicos del Ministerio de Justicia y del Derecho y así preservar el correcto desarrollo de la función pública</t>
  </si>
  <si>
    <t>Posibilidad de adelantar una actuación disciplinaria, pese a estar incurso en conflicto de interés, inhabilidad, impedimento o incompatibilidad, haciendo uso de la autoridad disciplinaria conferida para comprometer la imparcialidad, objetividad y transparencia del proceso, con el fin de favorecer intereses personales o de terceros</t>
  </si>
  <si>
    <t>Omisión al deber de declararse impedido para actuar en presencia de conflicto de interés,inhabilidad, impedimento o incompatibilidad de un proceso disciplinario.</t>
  </si>
  <si>
    <t>Procesos disciplinarios viciados
Beneficios indebidos
Sanciones a funcionarios
Daño a la transparencia
Violación del debido proceso</t>
  </si>
  <si>
    <t>El jefe del proceso disciplinario  realiza seguimiento quincenal de la declaración oportuna y clara de cualquier conflicto de interés, inhabilidad, impedimento o incompatibilidad en la fase de instrucción del proceso disciplinario, la cual es diligenciada por los abogados en el formato interno dispuesto para este fin, con el fin de prevenir que los funcionarios actúen estando incursos en situaciones que comprometan su imparcialidad, como respuesta a la falta de mecanismos efectivos para identificar y gestionar el riesgo.</t>
  </si>
  <si>
    <t>Falta de mecanismos efectivos para identificar y gestionar conflictos de interés inhabilidad, impedimento o incompatibilidad en el proceso disciplinario.</t>
  </si>
  <si>
    <t>Crear y socializar  en el sistema intrego de gestión el formato de impedimento para actuaciones disciplinarias.</t>
  </si>
  <si>
    <t>Única vez</t>
  </si>
  <si>
    <t xml:space="preserve"> Jefe de ja oficina </t>
  </si>
  <si>
    <t xml:space="preserve">Formato creado en el SIG  y socializado.  </t>
  </si>
  <si>
    <t xml:space="preserve">Durante el presente cuatrimestre, la OCDI ha realizado el seguimiento correspondiente a los riesgos identificados en la matriz de riesgos de corrupción. Se reporta que, hasta la fecha, no se ha materializado ninguno de los riesgos contemplados, lo cual refleja un comportamiento alineado con las buenas prácticas.
Dado que el seguimiento en este periodo se realiza por demanda, no se cuenta con evidencia documental para presentar. No obstante, se continuará con el monitoreo constante de este riesgo y de los controles asociados, con el objetivo de mantener una vigilancia efectiva y oportuna ante cualquier situación que pudiera presentar </t>
  </si>
  <si>
    <t>Actuaciones sesgadas
- Pérdida de confianza institucional pública
- Materialización de corrupción
- Quejas y demandas
- Altos costos jurídicos</t>
  </si>
  <si>
    <t>Actualizar el procedimiento de instrucción</t>
  </si>
  <si>
    <t xml:space="preserve">Procedimento Actualizado en el SIG y socializado. </t>
  </si>
  <si>
    <t xml:space="preserve">Hacer seguimiento de control con cada uno de los abogados . </t>
  </si>
  <si>
    <t xml:space="preserve">Quincenal  </t>
  </si>
  <si>
    <t>Evaluar y/o hacer seguimiento a la planeación, ejecución y control en la gestión de los procesos (SIG), programas, planes y proyectos del Ministerio de Justicia y del Derecho para el mejoramiento continuo de la gestión de la Entidad.</t>
  </si>
  <si>
    <t xml:space="preserve">Posibilidad de emitir resultados de auditoria no objetivos aprovechando la posición como auditor para beneficiar o afectar al auditado o a terceros favoreciendo intereses particulares. </t>
  </si>
  <si>
    <t>Solicitudes de terceros o partes interesadas</t>
  </si>
  <si>
    <t xml:space="preserve">1.Incumplimiento del principio de confidencialidad en el ejercicio de la actividad de auditoria. </t>
  </si>
  <si>
    <t>El Jefe o el auditor de la OCI  cada vez que se desarrolla una auditoria y antes de ser remitido a las partes interesadas, a fin de evitar imprecisiones en el contenido del mismo revisa el informe preliminar y sus papeles de trabajo. En caso de observar inconsistencias solicita las justificaciones o correcciones al auditor para realizar los respectivos ajustes al informe. 
Evidencia: Informe con sus respectivas modificaciones; Solicitudes de modificación a los informes; Comunicaciones de las modificaciones; Informe final remitido a las partes interesadas</t>
  </si>
  <si>
    <t>Jefe Oficina de Control Interno y equipo de trabajo</t>
  </si>
  <si>
    <t>En el primer cuatrimestre 2025,  se implementaron a cabalidad los controles definidos y el plan de tratamiento para aportar a la ejecución de los controles. Se ejecutó el plan anual de auditorias 2025 teniendo en cuenta los linemiamientos para cada auditoría y las recomendaciones del jefe de la OCI. Los informes de auditoría se enviaron a cada líder del proceso auditado, de acuerdo con el procedimiento establecido y publicado en la página web de la entidad. Las evidencias se encuentran en el One Drive y publicadas en la pág web de la entidad. Se envían los soportes que evidencian la ejecución de la actividad del plan de tratamiento, adelantando las reuniones de grupo primario de la OCI donde se trabajó con todo el equipo los temas relacionados con la gestión del área y el seguimiento y control de la implementación del Plan Anual de Auditoria Interna 2025. Con respecto al último control, no se han detectado presión para la elaboración de los informes y, por tanto no se cuenta con denuncias al respecto.  
https://minjusticiagovco-my.sharepoint.com/:f:/r/personal/mauricio_ordonez_minjusticia_gov_co/Documents/Evidencias%20riesgos/OCI/R2025/1cuatrimestre2025/Riesgos%20de%20corrupci%C3%B3n?csf=1&amp;web=1&amp;e=VeKH5d</t>
  </si>
  <si>
    <t>Presión de superiores para la modificación</t>
  </si>
  <si>
    <t>2.Pérdida de imagen institucional</t>
  </si>
  <si>
    <t>El Jefe o cualquier miembro de la OCI  cada vez que al revisar un informe se vea presionado por una parte interesada o un superior para la modificación del mismo, a fin de evitar presentar un informe que no sea fiel a la realidad, que omita información o que  vaya en contravía de la ley, realizará la denuncia respectiva siguiendo el conducto regular estipulado para ello. 
Evidencia: Denuncia, Informe con las modificaciones</t>
  </si>
  <si>
    <t>Falencias en la revisión de informes</t>
  </si>
  <si>
    <t>3.Pérdida de confianza y credibilidad en el proceso.</t>
  </si>
  <si>
    <t xml:space="preserve">4. Investigaciones Disciplinarias
Sanciones legales </t>
  </si>
  <si>
    <t>pobreza en colombia</t>
  </si>
  <si>
    <t>hora pico</t>
  </si>
  <si>
    <t>afan</t>
  </si>
  <si>
    <t>Lleves joyas</t>
  </si>
  <si>
    <t>hable por el celular</t>
  </si>
  <si>
    <t>atraco en trasmilenio</t>
  </si>
  <si>
    <t>perdida $$</t>
  </si>
  <si>
    <t>susto</t>
  </si>
  <si>
    <t>perdida de contactos</t>
  </si>
  <si>
    <t>hacer daño fisio, psiclógico</t>
  </si>
  <si>
    <t>incomunidada</t>
  </si>
  <si>
    <t>perder la vida</t>
  </si>
  <si>
    <t>Tipo de Proceso</t>
  </si>
  <si>
    <t>Procesos</t>
  </si>
  <si>
    <t>Objetivos</t>
  </si>
  <si>
    <t>Tipo_de_Riesgo</t>
  </si>
  <si>
    <t>Clase de Causa</t>
  </si>
  <si>
    <t>Probabilidad</t>
  </si>
  <si>
    <t>Impacto</t>
  </si>
  <si>
    <t>Opciones_de_Manejo</t>
  </si>
  <si>
    <t>Control_Existente</t>
  </si>
  <si>
    <t>Evaluación</t>
  </si>
  <si>
    <t>Medidas_de_Respuesta</t>
  </si>
  <si>
    <t>Solidez Controles</t>
  </si>
  <si>
    <t>Objetivos Estratégicos</t>
  </si>
  <si>
    <t>Estratégico</t>
  </si>
  <si>
    <t xml:space="preserve">Gestión del Conocimiento </t>
  </si>
  <si>
    <t>Raro</t>
  </si>
  <si>
    <t>Aceptar el Riesgo</t>
  </si>
  <si>
    <t>Rara vezInsignificante</t>
  </si>
  <si>
    <t>Bajo</t>
  </si>
  <si>
    <t>Asumir el riesgo</t>
  </si>
  <si>
    <t>Fuerte</t>
  </si>
  <si>
    <t>1-Incrementar el uso de los Mecanismos de Resolución de Conflictos para la reconstrucción del tejido social y la mitigación del impacto en el sistema judicial.</t>
  </si>
  <si>
    <t>Proveer información oportuna, confiable, veraz y accesible a clientes internos y externos del Ministerio de Justicia y del Derecho.</t>
  </si>
  <si>
    <t>Evitar el Riesgo</t>
  </si>
  <si>
    <t>Correctivo</t>
  </si>
  <si>
    <t>Rara vezMenor</t>
  </si>
  <si>
    <t xml:space="preserve"> Reducir el riesgo</t>
  </si>
  <si>
    <t>Gestionar la relación con los grupos de interés del Ministerio de Justicia y del Derecho, mediante el diseño y desarrollo de instrumentos, actividades y estrategias de servicio y participación ciudadana, la atención de sus requerimientos y la promoción del gobierno abierto. Con el propósito de contribuir a la generación de valor público en la Entidad, en alineación con los objetivos institucionales y las buenas prácticas nacionales e internacionales</t>
  </si>
  <si>
    <t>Moderada</t>
  </si>
  <si>
    <t>Compartir el Riesgo</t>
  </si>
  <si>
    <t>Rara vezModerado</t>
  </si>
  <si>
    <t>Alto</t>
  </si>
  <si>
    <t>Reducir el riesgo</t>
  </si>
  <si>
    <t>Débil</t>
  </si>
  <si>
    <t xml:space="preserve">Coordinar y administrar la implementación del Sistema Integrado de Gestión del Ministerio de Justicia y de Derecho, con el fin de 
asegurar su mejora contlnua, conveniencia, eficacia y eficiencia conforme con los estándares adoptados. </t>
  </si>
  <si>
    <t>Reducir el Riesgo</t>
  </si>
  <si>
    <t>Rara vezMayor</t>
  </si>
  <si>
    <t>Extremo</t>
  </si>
  <si>
    <t>Evitar el riesgo</t>
  </si>
  <si>
    <t xml:space="preserve">Orientar la gestion de la entidad y del sector para que las acciones se deriven de una planeación eficiente y articulada que optimice 
el uso de los recursos en el logro de los objetivos institucionales. </t>
  </si>
  <si>
    <t>Rara vezCatastrófico</t>
  </si>
  <si>
    <t>Misional</t>
  </si>
  <si>
    <t>ImprobableInsignificante</t>
  </si>
  <si>
    <t>Formularlos criterios,parámetros o lineamientos generales elegidos para abordar las prioridades de la agenda pública en materia de justicia y del derecho y orientar las decisiones respecto a una necesidad o situación de interés público en las materias de competencia del sector de Justicia y del Derecho;hacer seguimiento a las acciones definidas para su implementación o desarrollo y efectuar los ajustes que se requieran.</t>
  </si>
  <si>
    <t>ImprobableMenor</t>
  </si>
  <si>
    <t>Formulación y Seguimiento de Proyectos Normativos</t>
  </si>
  <si>
    <t>Formular proyectos de actos normativos de acuerdo con las políticas que orientan el sector Justicia y del Derecho,que sirven de herramienta para cumplir con los objetivos del Ministerio en beneficio de la comunidad y partes interesadas de acuerdo con el ordenamiento jurídico vigente.</t>
  </si>
  <si>
    <t>ImprobableModerado</t>
  </si>
  <si>
    <t>ImprobableMayor</t>
  </si>
  <si>
    <t>ImprobableCatastrófico</t>
  </si>
  <si>
    <t>Apoyo</t>
  </si>
  <si>
    <t>Fijar los lineamientos, parámetros y actividades requeridas para garantizar la gestión de los servicios administrativos, logísticos y la administración de los bienes necesario para la operación del Ministerio de Justicia y del Derecho.</t>
  </si>
  <si>
    <t>PosibleInsignificante</t>
  </si>
  <si>
    <t>Establecer los procedimientos, las estancias y responsables para el reconocimiento, registro y revelación de todos los hechos, transacciones y operaciones financieras, sociales, económicas y ambientales en los que tome parte el Ministerio de Justicia y del Derecho, con el fin de brindar información confiable, relevante y comprensible para la toma de decisiones.</t>
  </si>
  <si>
    <t>PosibleMenor</t>
  </si>
  <si>
    <t>Optimizar la operación de los procesos del MJD, mediante la gestión efectiva de los recursos tecnológicos, con el fin de brindar una adecuada disponibilidad de los servicios informáticos que soportan la operación del Ministerio, aplicando las iniciativas estratégicas definidas en las arquitecturas de la organización de TI, información, aplicaciones y tecnológicas. </t>
  </si>
  <si>
    <t>PosibleModerado</t>
  </si>
  <si>
    <t>PosibleMayor</t>
  </si>
  <si>
    <t>Apoyar a las diferentes dependencias de la Entidad y del Sector Justicia en el cumplimiento de su función administrativa, emitir conceptos jurídicos, defender y representar jurídicamente al Ministerio de Justicia y del Derecho</t>
  </si>
  <si>
    <t>PosibleCatastrófico</t>
  </si>
  <si>
    <t>Orientar la realización de las actividades necesarias para garantizar el acceso, la administración y conservación de los documentos producidos y recibidos por la Entidad, en cumplimiento de las disposiciones emanadas por parte del Archivo General de la Nación “Jorge Palacios Preciado”.</t>
  </si>
  <si>
    <t>ProbableInsignificante</t>
  </si>
  <si>
    <t>Contar con  personal idoneo y calificado para el ejercicio de las funciones de la entidad, así mismo fortelcer las competencias, habilidades, conocimientos y mejoramiento de la calidad de la vida laboral de los servidores públicos, cumpliendo con todas las disposiciones legales vigentes.</t>
  </si>
  <si>
    <t>ProbableMenor</t>
  </si>
  <si>
    <t>ProbableModerado</t>
  </si>
  <si>
    <t>ProbableMayor</t>
  </si>
  <si>
    <t>ProbableCatastrófico</t>
  </si>
  <si>
    <t>Casi seguroInsignificante</t>
  </si>
  <si>
    <t>Casi seguroMenor</t>
  </si>
  <si>
    <t>Calificación de Impacto</t>
  </si>
  <si>
    <t>Evidencia</t>
  </si>
  <si>
    <t>Control</t>
  </si>
  <si>
    <t>Casi seguroModerado</t>
  </si>
  <si>
    <t>Casi seguroMayor</t>
  </si>
  <si>
    <t>Incompleta</t>
  </si>
  <si>
    <t>Casi seguroCatastrófico</t>
  </si>
  <si>
    <t>No existe</t>
  </si>
  <si>
    <t>No se ejecuta</t>
  </si>
  <si>
    <t>Detectivo/Correctivo</t>
  </si>
  <si>
    <t>ACTIVO</t>
  </si>
  <si>
    <t>PRINCIPIO DE SEGURIDAD DEL ACTIVO</t>
  </si>
  <si>
    <t>PRINCIPIO DE SEGURIDAD PARA EL RIESGO</t>
  </si>
  <si>
    <t>RIESGO</t>
  </si>
  <si>
    <t>AMENAZA</t>
  </si>
  <si>
    <t>PRINCIPIO DE SEGURIDAD DE LA VULNERABILIDAD</t>
  </si>
  <si>
    <t>VULNERABILIDAD / CAUSA</t>
  </si>
  <si>
    <t>CLASIFICACIÓN DE LA VULNERABILIDAD</t>
  </si>
  <si>
    <t>DOMINIO DEL CONTROL</t>
  </si>
  <si>
    <t>Vulnerabilidad a reducir</t>
  </si>
  <si>
    <t>¿Cuál es la naturaleza del control?</t>
  </si>
  <si>
    <t xml:space="preserve"> ¿Qué nivel de oficialidad tiene el control?</t>
  </si>
  <si>
    <t>¿El control es medible?</t>
  </si>
  <si>
    <t>¿Al momento de realizar las pruebas de recorrido el control ha demostrado ser?</t>
  </si>
  <si>
    <t>Total Ejecución de Control</t>
  </si>
  <si>
    <t>Meta</t>
  </si>
  <si>
    <t>Inicio</t>
  </si>
  <si>
    <t>Duración</t>
  </si>
  <si>
    <t>Acción si se materializa</t>
  </si>
  <si>
    <t>Para una correcta descripción del Control Remitase a la Hoja CONTROLES</t>
  </si>
  <si>
    <t>NO</t>
  </si>
  <si>
    <t>INCOMPLETA</t>
  </si>
  <si>
    <t>si</t>
  </si>
  <si>
    <t>no</t>
  </si>
  <si>
    <t>PASOS</t>
  </si>
  <si>
    <t>Componente</t>
  </si>
  <si>
    <t>Ejemplo</t>
  </si>
  <si>
    <t>Paso 1</t>
  </si>
  <si>
    <t>Responsable de llevar a cabo el Control</t>
  </si>
  <si>
    <t>El tesorero, el secretario general y/o el cordinador del grupo de gestión financiera,</t>
  </si>
  <si>
    <t>Paso 2</t>
  </si>
  <si>
    <t>Periodicidad definida para su
ejecución.</t>
  </si>
  <si>
    <t>Cada vez que se requiera realizar un movimiento bancario y</t>
  </si>
  <si>
    <t>Paso 3</t>
  </si>
  <si>
    <t>Indicar cuál es el propósito del control</t>
  </si>
  <si>
    <t>Con el fin de prevenir que los movimientos que se den por ventanilla sean suplantados,</t>
  </si>
  <si>
    <t>Suplantación de representante legal para retiro de dinero de cuentas Bancarias de Minjusticia</t>
  </si>
  <si>
    <t>Paso 4</t>
  </si>
  <si>
    <t>Establecer el cómo se realiza la actividad de control.</t>
  </si>
  <si>
    <t>Todas las solicitudes de débitos o traslados se realizarán mediante oficio con dos firmas de aprobación que se encuentren autorizadas ante la entidad bancaria.</t>
  </si>
  <si>
    <t>Paso 5</t>
  </si>
  <si>
    <t>Indicar qué pasa con las observaciones o desviaciones resultantes de ejecutar el control</t>
  </si>
  <si>
    <t>Si no se cuenta con las dos firmas de aprobación, no se podrá realizar el débito o traslado bancario.</t>
  </si>
  <si>
    <t>Paso 6</t>
  </si>
  <si>
    <t>Evidencia de la ejecución del control</t>
  </si>
  <si>
    <t>Como evidencia queda el oficio radicado ante entidad bancaria con las dos firmas.</t>
  </si>
  <si>
    <t>Paso 7</t>
  </si>
  <si>
    <t>Está en el procedimiento</t>
  </si>
  <si>
    <t>SI</t>
  </si>
  <si>
    <t>Paso 8</t>
  </si>
  <si>
    <t>Si su respuesta es afirmativa, ¿en cuál procedimiento?</t>
  </si>
  <si>
    <t>Manejo de Bienes y Servicios</t>
  </si>
  <si>
    <t>Paso 9</t>
  </si>
  <si>
    <t>Si su respuesta es negativa, ¿en dónde esta documentado el control? Política - Manual - Guía</t>
  </si>
  <si>
    <t>-</t>
  </si>
  <si>
    <t>Control completo</t>
  </si>
  <si>
    <t>El equipo seleccionado del Grupo de Fortalecimiento a la Justicia étnica una vez el grupo culmina la revisión de los requisitos mínimos y  a fin de establecer si este ánalisis es correcto, realizará la revisión y validación aleatoria del 10% de las iniciativas, contrastando los requisitos vs la información diligenciada en una reunión grupal donde participan un numero impar de integrantes con voz y voto. Si en el momento de la revisión, se encuentra alguna inconsistencia en el diligenciamiento de la matriz se procede a realizar el ajuste y la decisión de mantener o no la iniciativa en el proceso. Evidencia: Grabación de la reunión si se realiza de forma virtual
Acta de reunión si esta se realiza de forma presencial. En ambas se concluirá sobre las iniciativas revisadas y validadas.</t>
  </si>
  <si>
    <t>El coordinador del Grupo de Fortalecimiento a la Justicia étnica después de la reunión con el equipo de validación de requisitos mínimos y antes de la publicación de la matriz de las propuestas, a fin de complementar el trabajo desarrollado por el equipo, realizará la revisión y validación aleatoria del 6% de las iniciativas adicionales a las ya reviasadas, contrastando los requisitos vs la información diligenciada. Si en el momento de la revisión, se encuentra alguna inconsistencia en el diligenciamiento de la matriz se procede a realizar el ajuste y la decisión de mantener o no la iniciativa en el proceso. Evidencia: Campo diligenciado de la revisión por parte de la coordinación de aquellas iniciativas seleccionadas con la respectiva decisión</t>
  </si>
  <si>
    <t>El Grupo de Fortalecimiento a la Justicia étnica cada vez que se reciba una solicitud de aclaración, información, queja, reclamo o sugerencia de la matriz de iniciativas publicada, a fin de determinar la validez o no de la solicitud y dar respuesta a la misma, realizará la revisión de la solicitud contrastando los requisitos vs la información diligenciada. Si en el momento de la revisión, se encuentra alguna inconsistencia en el diligenciamiento de la matriz se procede a realizar el ajuste y la decisión de mantener o no la iniciativa en el proceso, allegando copia de la misma al solicitante. Evidencia: Solicitud recibida
Respuesta a la solicitud</t>
  </si>
  <si>
    <t>Recuerde que el Riesgo de CORRUPCIÓN debe contar con los cuatro elementos descritos a continuación, para cada riesgo que ud describa, identifique claramente si esta presente cada elemento colocando una X</t>
  </si>
  <si>
    <t>Descripción</t>
  </si>
  <si>
    <t>Acción u omisión</t>
  </si>
  <si>
    <t>Uso del poder</t>
  </si>
  <si>
    <t>Desviar la gestión de lo público</t>
  </si>
  <si>
    <t>Beneficio privado</t>
  </si>
  <si>
    <t>Seleccionar una inciativa que no cumpla con los requisitos</t>
  </si>
  <si>
    <t xml:space="preserve">aprovechando la concentración de la información </t>
  </si>
  <si>
    <t>a fin de que esta sea favorecida con recursos públicos</t>
  </si>
  <si>
    <t>y recibiendo un beneficio o beneficiando a un tercero</t>
  </si>
  <si>
    <t>Seleccionar una inciativa que no cumpla con los requisitos aprovechando la concentración de la información a fin de que esta sea favorecida con recursos públicos permitiendo la recepción de un beneficio o beneficiando a un tercero</t>
  </si>
  <si>
    <t>Principios de Seguridad</t>
  </si>
  <si>
    <t>AMENAZAS</t>
  </si>
  <si>
    <t>Confidencialidad</t>
  </si>
  <si>
    <t>Confidencialidad y disponibilidad</t>
  </si>
  <si>
    <t>Confidencialidad e integridad</t>
  </si>
  <si>
    <t>Confidencialidad, Integridad y Disponibilidad</t>
  </si>
  <si>
    <t>Disponibilidad</t>
  </si>
  <si>
    <t>Integridad y Disponibilidad</t>
  </si>
  <si>
    <t>Integridad</t>
  </si>
  <si>
    <t>Divulgación no autorizada</t>
  </si>
  <si>
    <t>Ataque malicioso (explosivos, químicos, vandalismo, hurto, radiación electromagnética, entre otros).</t>
  </si>
  <si>
    <t>Uso no autorizado de recursos (equipos de comunicación, medios de almacenamiento, sistemas de información, computadores)</t>
  </si>
  <si>
    <t xml:space="preserve">Acceso no autorizado (a oficinas, edificio, sala, centro de cómputo, sistema de información, documentación, información, entre otros). </t>
  </si>
  <si>
    <t>Cierre de operación de un proveedor o contratista crítico para la Entidad</t>
  </si>
  <si>
    <t>Ataques contra  el sistema (negación del servicio, manipulación de software, manipulación  de equipo informático entre otros)</t>
  </si>
  <si>
    <t>Daño físico (Daño por agua, polvo o corrosión)</t>
  </si>
  <si>
    <t>Falla o corrupción del software.</t>
  </si>
  <si>
    <t>Abuso de derechos (de usuario, administrador)</t>
  </si>
  <si>
    <t>Código malicioso (troyanos, gusanos, bomba lógica, entre otros)</t>
  </si>
  <si>
    <t xml:space="preserve">Contaminación, Pandemias, virus </t>
  </si>
  <si>
    <t>Destrucción de equipos o medios</t>
  </si>
  <si>
    <t>Falla técnica (Mal funcionamiento del equipo, Mal funcionamiento del software )</t>
  </si>
  <si>
    <t>Confidencialidad_integridad</t>
  </si>
  <si>
    <t>Hurto o robo (información, documentos, medios o equipos)</t>
  </si>
  <si>
    <t>Actos fraudulentos (suplantación, fraude,  venta de información, soborno, extorsión, falsificación de derechos, entre otros)</t>
  </si>
  <si>
    <t>Funcionarios (Acciones involuntarias y/o deliberadas)</t>
  </si>
  <si>
    <t>Daño físico (fuego, agua, humedad, contaminación química, construcción, entre otros)</t>
  </si>
  <si>
    <t>Deterioro del sistema o medio de almacenaje</t>
  </si>
  <si>
    <t>Acciones no autorizadas (Uso no autorizado del equipo, Corrupción de los datos, Abuso de derechos, Falsificación de derechos)</t>
  </si>
  <si>
    <t>Confidencialidad_disponibilidad</t>
  </si>
  <si>
    <t>Incumplimiento  de leyes o regulaciones (propiedad intelectual, entre otros)</t>
  </si>
  <si>
    <t>Espionaje (interceptación, ingeniería social)</t>
  </si>
  <si>
    <t>Déficit de personal</t>
  </si>
  <si>
    <t>Error en el uso (de equipos, medios, información, sistemas o servicios de información)</t>
  </si>
  <si>
    <t>Error en el uso</t>
  </si>
  <si>
    <t>Integridad_Disponibilidad</t>
  </si>
  <si>
    <t>Piratería</t>
  </si>
  <si>
    <t>Incumplimiento de políticas o procedimientos internos.</t>
  </si>
  <si>
    <t>Desastre natural (temblor, terremoto,  inundación, incendio, rayos, contaminación química entre otros)</t>
  </si>
  <si>
    <t>Errores de transmisión o almacenamiento</t>
  </si>
  <si>
    <t>Confidencialidad_Integridad_Disponibilidad</t>
  </si>
  <si>
    <t>Recuperación de medios reciclados o desechados</t>
  </si>
  <si>
    <t>Intrusión o acceso forzado (instalaciones, sistemas de información, información)</t>
  </si>
  <si>
    <t>Falla de la red interna</t>
  </si>
  <si>
    <t>Falla / degradación o mal funcionamiento del software o hardware</t>
  </si>
  <si>
    <t>Uso de software no licenciado o no autorizado</t>
  </si>
  <si>
    <t>Intruso externo (Ejemplo: Exempleados, delincuente informático,  competidores)</t>
  </si>
  <si>
    <t>Falla de suministro de servicios esenciales (agua, gas, aire acondicionado)</t>
  </si>
  <si>
    <t>Proveedor o contratista</t>
  </si>
  <si>
    <t>Falla en el suministro de energía  (pérdida suministro de energia,planta eléctrica, UPS, banco de baterías)</t>
  </si>
  <si>
    <t>Falla para respaldar la información.</t>
  </si>
  <si>
    <t>RIESGOS</t>
  </si>
  <si>
    <t>Falla sistema de comunicaciones (Internet, canales, Radio, entre otros).</t>
  </si>
  <si>
    <t>CONFIDENCIALIDAD_</t>
  </si>
  <si>
    <t>INTEGRIDAD_</t>
  </si>
  <si>
    <t>DISPONIBILIDAD_</t>
  </si>
  <si>
    <t>CONFIDENCIALIDAD_INTEGRIDAD_</t>
  </si>
  <si>
    <t>CONFIDENCIALIDAD_DISPONIBILIDAD_</t>
  </si>
  <si>
    <t>INTEGRIDAD_DISPONIBILIDAD_</t>
  </si>
  <si>
    <t>CONFIDENCIALIDAD_INTEGRIDAD_DISPONIBILIDAD_</t>
  </si>
  <si>
    <t>Fuego, agua, humedad, variaciones de temperatura/voltaje, radioactividad, polvo, gases, oxidación, campos electromagnéticos, entre otros.</t>
  </si>
  <si>
    <t>Fuga, revelación o divulgación de información sensible y/o confidencial</t>
  </si>
  <si>
    <t>Alteración, daño total o parcial de la información procesada y/o almacenada en… Información inexacta e incompleta.</t>
  </si>
  <si>
    <t>Interrupción total o parcial de los procesos del negocio por falla/daño/degradación de los equipos informáticos, equipos de comunicaciones (dispositivos de red, planta telefónica, servidores, UPS, entre otros), debido a cualquier evento o incidente</t>
  </si>
  <si>
    <t>Pérdida, alteración, acceso no autorizado, divulgación no autorizada y/o fuga de información  confidencial/sensible procesada y/o almacenada en…</t>
  </si>
  <si>
    <t>Destrucción, pérdida, extravío, robo, daño o alteración de información en medio físico o lógico.</t>
  </si>
  <si>
    <t>Pérdida de información debido a errores en la ejecución del procedimiento de backup, fallas en el software de backup.</t>
  </si>
  <si>
    <t>Incumplimiento contractual y/o sanciones.</t>
  </si>
  <si>
    <t xml:space="preserve">Incumplimiento en el mantenimiento </t>
  </si>
  <si>
    <t>Divulgación no autorizada o fuga de información por la pérdida/robo de equipos de cómputo o medios removibles en los que se almacena información confidencial/sensible en texto claro.</t>
  </si>
  <si>
    <t>Problemas, fallas o no disponibilidad de los servicios esenciales (internet, teléfonos, aire acondicionado, energía, agua, etc.)</t>
  </si>
  <si>
    <t>Actos vandálicos y/o terrorismo</t>
  </si>
  <si>
    <t>Incumplimiento en el servicio de mantenimiento</t>
  </si>
  <si>
    <t>Pérdida, robo, daño, alteración, divulgación no autorizada y/o fuga de información como consecuencia del acceso físico a las oficinas.</t>
  </si>
  <si>
    <t>Degradación del rendimiento de las aplicaciones o la red,  Retraso o interrupción de los sistemas de información y/o la información</t>
  </si>
  <si>
    <t>Hurto, fraude  o sabotaje de equipos, medios, información o documentos.</t>
  </si>
  <si>
    <t>Incumplimiento en los SLA´s</t>
  </si>
  <si>
    <t>Acción Industrial / Espionaje (infiltración canales de comunicación, servicios de información, servicios informáticos)</t>
  </si>
  <si>
    <t>Pérdida de información (contenida en documentación física o digital)</t>
  </si>
  <si>
    <t>VULNERABILIDADES</t>
  </si>
  <si>
    <t>Saturación del sistema de información</t>
  </si>
  <si>
    <t>CONFIDENCIALIDAD.</t>
  </si>
  <si>
    <t>INTEGRIDAD.</t>
  </si>
  <si>
    <t>DISPONIBILIDAD.</t>
  </si>
  <si>
    <t>CONFIDENCIALIDAD_INTEGRIDAD.</t>
  </si>
  <si>
    <t>CONFIDENCIALIDAD_DISPONIBILIDAD.</t>
  </si>
  <si>
    <t>INTEGRIDAD_DISPONIBILIDAD.</t>
  </si>
  <si>
    <t>CONFIDENCIALIDAD_INTEGRIDAD_DISPONIBILIDAD.</t>
  </si>
  <si>
    <t>Ausencia de procedimiento formal para la autorización de la información disponible al público.</t>
  </si>
  <si>
    <t>Ausencia o insuficiencia de actualizaciones.</t>
  </si>
  <si>
    <t>Ausencia de esquemas de respaldo.</t>
  </si>
  <si>
    <t>Acceso no controlado a información sensible / confidencial.</t>
  </si>
  <si>
    <t>Hurto, fraude o sabotaje de equipos, medios, información o documentos.</t>
  </si>
  <si>
    <t>Ausencia de procedimiento de control de cambios.</t>
  </si>
  <si>
    <t>Almacenamiento de equipos sin protección.</t>
  </si>
  <si>
    <t>Ausencia o insuficiencia de cláusulas contractuales y/o acuerdos de confidencialidad.</t>
  </si>
  <si>
    <t>Documentación insuficiente o desactualizada.</t>
  </si>
  <si>
    <t>Ausencia de planes de continuidad.</t>
  </si>
  <si>
    <t>Acceso o uso no controlado del sistema de información (software, aplicativo).</t>
  </si>
  <si>
    <t>Ausencia o insuficiencia de control de cambios en la configuración.</t>
  </si>
  <si>
    <t>Almacenamiento de información sin protección</t>
  </si>
  <si>
    <t>Ausencia o insuficiencia de disposiciones (con respecto a la seguridad) en los contratos con los empleados y/o terceras partes.</t>
  </si>
  <si>
    <t>Especificaciones o requerimientos incompletos, inadecuados o no claros.</t>
  </si>
  <si>
    <t>Ausencia de responsables sobre la gestión en seguridad de la información y/o continuidad de negocio.</t>
  </si>
  <si>
    <t>Acceso o uso no controlado.</t>
  </si>
  <si>
    <t>Ausencia o insuficiencia de procedimientos de monitoreo de los recursos de procesamiento de información.</t>
  </si>
  <si>
    <t>Arquitectura insegura de la red.</t>
  </si>
  <si>
    <t>Relojes no sincronizados.</t>
  </si>
  <si>
    <t>Ausencia o insuficiencia de controles de monitoreo de las instalaciones (por ej. detección o extinción de incendios, líquidos inflamables, CCTV, entre otros).</t>
  </si>
  <si>
    <t>Ausencia de logs o registros de auditoría.</t>
  </si>
  <si>
    <t>Dependencia de personal clave, ausentismo y/o personal insuficiente.</t>
  </si>
  <si>
    <t>Ausencia de "terminación/bloqueo de la sesión" cuando se abandona la estación de trabajo.</t>
  </si>
  <si>
    <t>Ausencia o insuficiencia de procedimientos para el manejo información clasificada.</t>
  </si>
  <si>
    <t>Testeo inadecuado o insuficiente</t>
  </si>
  <si>
    <t>Ausencia o insuficiencia de copias de respaldo.</t>
  </si>
  <si>
    <t>Ausencia de mecanismos de monitoreo a la actividad de los empleados y/o terceros.</t>
  </si>
  <si>
    <t>Incumplimiento de las condiciones técnicas y/o ambientales provistas por el fabricante.</t>
  </si>
  <si>
    <t>Ausencia de control de los activos que se encuentran fuera de la instalaciones.</t>
  </si>
  <si>
    <t>Ausencia o insuficiencia de un procedimiento para el manejo de comunicaciones externas.</t>
  </si>
  <si>
    <t>Ausencia o insuficiencia de mantenimiento.</t>
  </si>
  <si>
    <t>Ausencia de segmentación de la red.</t>
  </si>
  <si>
    <t>Insuficiente entrenamiento, capacitación o sensibilización.</t>
  </si>
  <si>
    <t>Ausencia de controles y verificaciones en los procesos de selección y contratación de personal.</t>
  </si>
  <si>
    <t>Ausencia o insuficiencia de un proceso para clasificar y etiquetar la información.</t>
  </si>
  <si>
    <t>Ausencia o insuficiencia de mecanismos de monitoreo de Red, gestión de la capacidad y disponibilidad.</t>
  </si>
  <si>
    <t>Ausencia o insuficiencia de contratos, acuerdos de nivel de servicio y/o confidencialidad con empleados o terceros.</t>
  </si>
  <si>
    <t>Ausencia de sistemas y/o procedimientos de monitoreo de los recursos de procesamiento de información.</t>
  </si>
  <si>
    <t>Ausencia o insuficiencia en el control de los activos que se encuentran fuera de la instalaciones.</t>
  </si>
  <si>
    <t>Ausencia o insuficiencia de planes de emergencia y simulacros de evacuación.</t>
  </si>
  <si>
    <t>Ausencia o insuficiencia de contratos, acuerdos de niveles de servicio y/o confidencialidad.</t>
  </si>
  <si>
    <t>Ausencia o insuficiencia de controles de acceso a las instalaciones.</t>
  </si>
  <si>
    <t>Canales de comunicación sin encripción.</t>
  </si>
  <si>
    <t>Capacidad inadecuada.</t>
  </si>
  <si>
    <t>Ausencia o insuficiencia de mecanismos de identificación y autenticación.</t>
  </si>
  <si>
    <t>Ausencia o insuficiencia de documentación de uso y/o administración.</t>
  </si>
  <si>
    <t>Desconocimiento, malinterpretación o no cumplimiento de las disposiciones legales, contractuales y/o regulatorias aplicables.</t>
  </si>
  <si>
    <t>Conexión deficiente y/o desorganización del cableado estructurado / eléctrico.</t>
  </si>
  <si>
    <t>Ausencia o insuficiencia de perfiles de acceso o falta de gestión de privilegios de acceso.</t>
  </si>
  <si>
    <t>Ausencia o insuficiencia de políticas, procedimientos y directrices de seguridad.</t>
  </si>
  <si>
    <t>Disposición / Eliminación /reutilización de equipos sin borrado seguro.</t>
  </si>
  <si>
    <t>Falla en los servicios esenciales (internet, teléfonos, aire acondicionado, energía, agua, etc.).</t>
  </si>
  <si>
    <t>Ausencia o insuficiencia en la gestión de usuarios y contraseñas.</t>
  </si>
  <si>
    <t>Ausencia o insuficiencia de procesos disciplinarios definidos en el caso de incidente de seguridad de la información.</t>
  </si>
  <si>
    <t>Disposición/reutilización de medios de almacenamiento sin borrado seguro.</t>
  </si>
  <si>
    <t>Falla, daño o degradación de equipos.</t>
  </si>
  <si>
    <t>Configuración incorrecta de parámetros o configuraciones por defecto.</t>
  </si>
  <si>
    <t>Ausencia o insuficiencia de un proceso de análisis y tratamiento de riesgos.</t>
  </si>
  <si>
    <t>Transferencia y/o almacenamiento de información en texto claro.</t>
  </si>
  <si>
    <t>Proveedor o contratista único en el mercado.</t>
  </si>
  <si>
    <t>Falta de segregación de funciones o incorrecta aplicación de las mismas.</t>
  </si>
  <si>
    <t>Ausencia o insuficiencia de un proceso de gestión de incidentes de seguridad.</t>
  </si>
  <si>
    <t>Ubicación geográfica de las instalaciones en una zona de alto impacto por eventos externos (desastres naturales, orden público, entre otros).</t>
  </si>
  <si>
    <t>Ausencia o insuficiencia en la definición y formalización de roles, funciones y responsabilidades en la seguridad de la información.</t>
  </si>
  <si>
    <t>Dependencia de proveedores.</t>
  </si>
  <si>
    <t>Descarga y/o uso no controlado de software.</t>
  </si>
  <si>
    <t>Fallas conocidas o defectos del software.</t>
  </si>
  <si>
    <t>Falta de protección contra virus y/o código malicioso</t>
  </si>
  <si>
    <t>Personal inconforme o molesto.</t>
  </si>
  <si>
    <t>Puertos o servicios activos no requeridos.</t>
  </si>
  <si>
    <t>Uso de Software ilegal / No autorizado / Software Malicioso.</t>
  </si>
  <si>
    <t>_5._POLÍTICAS_DE_SEGURIDAD.</t>
  </si>
  <si>
    <t>_6._ASPECTOS_ORGANIZATIVOS_DE_LA_SEGURIDAD_DE_LA_INFORMAC.</t>
  </si>
  <si>
    <t>_7._SEGURIDAD_LIGADA_A_LOS_RECURSOS_HUMANOS.</t>
  </si>
  <si>
    <t>_8._GESTIÓN_DE_ACTIVOS.</t>
  </si>
  <si>
    <t>_9._CONTROL_DE_ACCESOS.</t>
  </si>
  <si>
    <t>_10._CIFRADO.</t>
  </si>
  <si>
    <t>_11._SEGURIDAD_FÍSICA_Y_AMBIENTAL.</t>
  </si>
  <si>
    <t>_12._SEGURIDAD_EN_LA_OPERATIVA.</t>
  </si>
  <si>
    <t>_13._SEGURIDAD_EN_LAS_TELECOMUNICACIONES.</t>
  </si>
  <si>
    <t>_14._ADQUISICIÓN__DESARROLLO_Y_MANTENIMIENTO_DE_LOS_SISTEMAS_DE_INFORMACIÓN.</t>
  </si>
  <si>
    <t>_15._RELACIONES_CON_SUMINISTRADORES.</t>
  </si>
  <si>
    <t>_16._GESTIÓN_DE_INCIDENTES_EN_LA_SEGURIDAD_DE_LA_INFORMACIÓN.</t>
  </si>
  <si>
    <t>_17._ASPECTOS_DE_SEGURIDAD_DE_LA_INFORMACION_EN_LA_GESTIÓN_DE_LA_CONTINUIDAD_DEL_NEGOCIO.</t>
  </si>
  <si>
    <t>_18._CUMPLIMIENTO.</t>
  </si>
  <si>
    <t xml:space="preserve">5.1.1 Conjunto de políticas para la seguridad de la información. </t>
  </si>
  <si>
    <t xml:space="preserve">6.1.1 Asignación de responsabilidades para la segur. de la información. </t>
  </si>
  <si>
    <t xml:space="preserve">7.1.1 Investigación de antecedentes. </t>
  </si>
  <si>
    <t xml:space="preserve">8.1.1 Inventario de activos. </t>
  </si>
  <si>
    <t xml:space="preserve">9.1.1 Política de control de accesos. </t>
  </si>
  <si>
    <t xml:space="preserve">10.1.1 Política de uso de los controles criptográficos. </t>
  </si>
  <si>
    <t xml:space="preserve">11.1.1 Perímetro de seguridad física. </t>
  </si>
  <si>
    <t xml:space="preserve">12.1.1 Documentación de procedimientos de operación. </t>
  </si>
  <si>
    <t xml:space="preserve">13.1.1 Controles de red. </t>
  </si>
  <si>
    <t xml:space="preserve">14.1.1 Análisis y especificación de los requisitos de seguridad. </t>
  </si>
  <si>
    <t xml:space="preserve">15.1.1 Política de seguridad de la información para suministradores. </t>
  </si>
  <si>
    <t xml:space="preserve">16.1.1 Responsabilidades y procedimientos. </t>
  </si>
  <si>
    <t xml:space="preserve">17.1.1 Planificación de la continuidad de la seguridad de la información. </t>
  </si>
  <si>
    <t xml:space="preserve">18.1.1 Identificación de la legislación aplicable. </t>
  </si>
  <si>
    <t xml:space="preserve">5.1.2 Revisión de las políticas para la seguridad de la información. </t>
  </si>
  <si>
    <t xml:space="preserve">6.1.2 Segregación de tareas. </t>
  </si>
  <si>
    <t xml:space="preserve">7.1.2 Términos y condiciones de contratación. </t>
  </si>
  <si>
    <t xml:space="preserve">8.1.2 Propiedad de los activos. </t>
  </si>
  <si>
    <t xml:space="preserve">9.1.2 Control de acceso a las redes y servicios asociados. </t>
  </si>
  <si>
    <t xml:space="preserve">10.1.2 Gestión de claves. </t>
  </si>
  <si>
    <t xml:space="preserve">11.1.2 Controles físicos de entrada. </t>
  </si>
  <si>
    <t xml:space="preserve">12.1.2 Gestión de cambios. </t>
  </si>
  <si>
    <t xml:space="preserve">13.1.2 Mecanismos de seguridad asociados a servicios en red. </t>
  </si>
  <si>
    <t xml:space="preserve">14.1.2 Seguridad de las comunicaciones en servicios accesibles por redes públicas. </t>
  </si>
  <si>
    <t xml:space="preserve">15.1.2 Tratamiento del riesgo dentro de acuerdos de suministradores. </t>
  </si>
  <si>
    <t xml:space="preserve">16.1.2 Notificación de los eventos de seguridad de la información. </t>
  </si>
  <si>
    <t xml:space="preserve">17.1.2 Implantación de la continuidad de la seguridad de la información. </t>
  </si>
  <si>
    <t xml:space="preserve">18.1.2 Derechos de propiedad intelectual (DPI). </t>
  </si>
  <si>
    <t xml:space="preserve">6.1.3 Contacto con las autoridades. </t>
  </si>
  <si>
    <t xml:space="preserve">7.2.1 Responsabilidades de gestión. </t>
  </si>
  <si>
    <t xml:space="preserve">8.1.3 Uso aceptable de los activos. </t>
  </si>
  <si>
    <t>9.2.1 Gestión de altas/bajas en el registro de usuarios.</t>
  </si>
  <si>
    <t xml:space="preserve">11.1.3 Seguridad de oficinas, despachos y recursos. </t>
  </si>
  <si>
    <t xml:space="preserve">12.1.3 Gestión de capacidades. </t>
  </si>
  <si>
    <t xml:space="preserve">13.1.3 Segregación de redes. </t>
  </si>
  <si>
    <t xml:space="preserve">14.1.3 Protección de las transacciones por redes telemáticas. </t>
  </si>
  <si>
    <t xml:space="preserve">15.1.3 Cadena de suministro en tecnologías de la información y comunicaciones. </t>
  </si>
  <si>
    <t xml:space="preserve">16.1.3 Notificación de puntos débiles de la seguridad. </t>
  </si>
  <si>
    <t>17.1.3 Verificación, revisión y evaluación de la continuidad de la seguridad de la información.</t>
  </si>
  <si>
    <t xml:space="preserve">18.1.3 Protección de los registros de la organización. </t>
  </si>
  <si>
    <t xml:space="preserve">6.1.4 Contacto con grupos de interés especial. </t>
  </si>
  <si>
    <t xml:space="preserve">7.2.2 Concienciación, educación y capacitación en segur. de la informac. </t>
  </si>
  <si>
    <t xml:space="preserve">8.2.1 Directrices de clasificación. </t>
  </si>
  <si>
    <t xml:space="preserve"> 9.2.2 Gestión de los derechos de acceso asignados a usuarios. </t>
  </si>
  <si>
    <t xml:space="preserve">11.1.4 Protección contra las amenazas externas y ambientales. </t>
  </si>
  <si>
    <t xml:space="preserve">12.1.4 Separación de entornos de desarrollo, prueba y producción. </t>
  </si>
  <si>
    <t xml:space="preserve">13.2.1 Políticas y procedimientos de intercambio de información. </t>
  </si>
  <si>
    <t xml:space="preserve">14.2.1 Política de desarrollo seguro de software. </t>
  </si>
  <si>
    <t xml:space="preserve">15.2.1 Supervisión y revisión de los servicios prestados por terceros. </t>
  </si>
  <si>
    <t xml:space="preserve">16.1.4 Valoración de eventos de seguridad de la información y toma de decisiones. </t>
  </si>
  <si>
    <t xml:space="preserve">17.2.1 Disponibilidad de instalaciones para el procesamiento de la información. </t>
  </si>
  <si>
    <t xml:space="preserve">18.1.4 Protección de datos y privacidad de la información personal. </t>
  </si>
  <si>
    <t xml:space="preserve">6.1.5 Seguridad de la información en la gestión de proyectos. </t>
  </si>
  <si>
    <t xml:space="preserve">7.2.3 Proceso disciplinario. </t>
  </si>
  <si>
    <t xml:space="preserve">8.2.2 Etiquetado y manipulado de la información. </t>
  </si>
  <si>
    <t xml:space="preserve">9.2.3 Gestión de los derechos de acceso con privilegios especiales. </t>
  </si>
  <si>
    <t xml:space="preserve">11.1.5 El trabajo en áreas seguras. </t>
  </si>
  <si>
    <t xml:space="preserve">12.2.1 Controles contra el código malicioso. </t>
  </si>
  <si>
    <t xml:space="preserve">13.2.2 Acuerdos de intercambio. </t>
  </si>
  <si>
    <t xml:space="preserve">14.2.2 Procedimientos de control de cambios en los sistemas. </t>
  </si>
  <si>
    <t xml:space="preserve">15.2.2 Gestión de cambios en los servicios prestados por terceros. </t>
  </si>
  <si>
    <t xml:space="preserve">16.1.5 Respuesta a los incidentes de seguridad. </t>
  </si>
  <si>
    <t xml:space="preserve">18.1.5 Regulación de los controles criptográficos. </t>
  </si>
  <si>
    <t xml:space="preserve">6.2.1 Política de uso de dispositivos para movilidad. </t>
  </si>
  <si>
    <t xml:space="preserve">7.3.1 Cese o cambio de puesto de trabajo. </t>
  </si>
  <si>
    <t xml:space="preserve">8.2.3 Manipulación de activos. </t>
  </si>
  <si>
    <t xml:space="preserve">9.2.4 Gestión de información confidencial de autenticación de usuarios.   </t>
  </si>
  <si>
    <t xml:space="preserve">11.1.6 Áreas de acceso público, carga y descarga. </t>
  </si>
  <si>
    <t xml:space="preserve">12.3.1 Copias de seguridad de la información. </t>
  </si>
  <si>
    <t xml:space="preserve">13.2.3 Mensajería electrónica. </t>
  </si>
  <si>
    <t xml:space="preserve">14.2.3 Revisión técnica de las aplicaciones tras efectuar cambios en el sistema operativo. </t>
  </si>
  <si>
    <t xml:space="preserve">16.1.6 Aprendizaje de los incidentes de seguridad de la información. </t>
  </si>
  <si>
    <t xml:space="preserve">18.2.1 Revisión independiente de la seguridad de la información. </t>
  </si>
  <si>
    <t xml:space="preserve">6.2.2 Teletrabajo. </t>
  </si>
  <si>
    <t xml:space="preserve">8.3.1 Gestión de soportes extraíbles. </t>
  </si>
  <si>
    <t xml:space="preserve">9.2.5 Revisión de los derechos de acceso de los usuarios. </t>
  </si>
  <si>
    <t xml:space="preserve">11.2.1 Emplazamiento y protección de equipos. </t>
  </si>
  <si>
    <t xml:space="preserve">12.4.1 Registro y gestión de eventos de actividad. </t>
  </si>
  <si>
    <t xml:space="preserve">13.2.4 Acuerdos de confidencialidad y secreto. </t>
  </si>
  <si>
    <t xml:space="preserve">14.2.4 Restricciones a los cambios en los paquetes de software. </t>
  </si>
  <si>
    <t xml:space="preserve">16.1.7 Recopilación de evidencias. </t>
  </si>
  <si>
    <t xml:space="preserve">18.2.2 Cumplimiento de las políticas y normas de seguridad. </t>
  </si>
  <si>
    <t xml:space="preserve">8.3.2 Eliminación de soportes. </t>
  </si>
  <si>
    <t xml:space="preserve">9.2.6 Retirada o adaptación de los derechos de acceso </t>
  </si>
  <si>
    <t xml:space="preserve">11.2.2 Instalaciones de suministro. </t>
  </si>
  <si>
    <t xml:space="preserve">12.4.2 Protección de los registros de información. </t>
  </si>
  <si>
    <t xml:space="preserve">14.2.5 Uso de principios de ingeniería en protección de sistemas. </t>
  </si>
  <si>
    <t>18.2.3 Comprobación del cumplimiento.</t>
  </si>
  <si>
    <t xml:space="preserve">8.3.3 Soportes físicos en tránsito. </t>
  </si>
  <si>
    <t xml:space="preserve">9.3.1 Uso de información confidencial para la autenticación. </t>
  </si>
  <si>
    <t xml:space="preserve">11.2.3 Seguridad del cableado. </t>
  </si>
  <si>
    <t xml:space="preserve">12.4.3 Registros de actividad del administrador y operador del sistema. </t>
  </si>
  <si>
    <t xml:space="preserve">14.2.6 Seguridad en entornos de desarrollo. </t>
  </si>
  <si>
    <t xml:space="preserve">9.4.1 Restricción del acceso a la información. </t>
  </si>
  <si>
    <t xml:space="preserve">11.2.4 Mantenimiento de los equipos. </t>
  </si>
  <si>
    <t xml:space="preserve">12.4.4 Sincronización de relojes. </t>
  </si>
  <si>
    <t xml:space="preserve">14.2.7 Externalización del desarrollo de software. </t>
  </si>
  <si>
    <t xml:space="preserve">9.4.2 Procedimientos seguros de inicio de sesión. </t>
  </si>
  <si>
    <t xml:space="preserve">11.2.5 Salida de activos fuera de las dependencias de la empresa. </t>
  </si>
  <si>
    <t xml:space="preserve">12.5.1 Instalación del software en sistemas en producción. </t>
  </si>
  <si>
    <t xml:space="preserve">14.2.8 Pruebas de funcionalidad durante el desarrollo de los sistemas. </t>
  </si>
  <si>
    <t xml:space="preserve">9.4.3 Gestión de contraseñas de usuario. </t>
  </si>
  <si>
    <t xml:space="preserve">11.2.6 Seguridad de los equipos y activos fuera de las instalaciones. </t>
  </si>
  <si>
    <t xml:space="preserve">12.6.1 Gestión de las vulnerabilidades técnicas. </t>
  </si>
  <si>
    <t>14.2.9 Pruebas de aceptación.</t>
  </si>
  <si>
    <t xml:space="preserve">9.4.4 Uso de herramientas de administración de sistemas.   </t>
  </si>
  <si>
    <t xml:space="preserve">11.2.7 Reutilización o retirada segura de dispositivos de almacenamiento. </t>
  </si>
  <si>
    <t xml:space="preserve">12.6.2 Restricciones en la instalación de software. </t>
  </si>
  <si>
    <t xml:space="preserve">14.3.1 Protección de los datos utilizados en pruebas. </t>
  </si>
  <si>
    <t xml:space="preserve">9.4.5 Control de acceso al código fuente de los programas. </t>
  </si>
  <si>
    <t xml:space="preserve">11.2.8 Equipo informático de usuario desatendido. </t>
  </si>
  <si>
    <t xml:space="preserve">12.7.1 Controles de auditoría de los sistemas de información. </t>
  </si>
  <si>
    <t xml:space="preserve">11.2.9 Política de puesto de trabajo despejado y bloqueo de pantalla. </t>
  </si>
  <si>
    <t>Naturaleza del control</t>
  </si>
  <si>
    <t>Oficialidad</t>
  </si>
  <si>
    <t>Medible</t>
  </si>
  <si>
    <t>Pruebas de recorrido</t>
  </si>
  <si>
    <t>Automático</t>
  </si>
  <si>
    <t>Aprobado y divulgado</t>
  </si>
  <si>
    <t>Si y las métricas se tienen en cuenta en los indicadores</t>
  </si>
  <si>
    <t>Altamente efectivo</t>
  </si>
  <si>
    <t>Semiautomático</t>
  </si>
  <si>
    <t>Aprobado no divulgado</t>
  </si>
  <si>
    <t>Se mide periódicamente o por demanda y se lleva un registro</t>
  </si>
  <si>
    <t>Medianamente efectivo</t>
  </si>
  <si>
    <t>Manual</t>
  </si>
  <si>
    <t>Documentado</t>
  </si>
  <si>
    <t>Se mide periódicamente o por demandapero no se lleva un registro</t>
  </si>
  <si>
    <t>Poco efectivo</t>
  </si>
  <si>
    <t>No documentado</t>
  </si>
  <si>
    <t>No se mide</t>
  </si>
  <si>
    <t>No se realizaron pruebas</t>
  </si>
  <si>
    <t>No Aplica</t>
  </si>
  <si>
    <t>NA</t>
  </si>
  <si>
    <t>Criterios para calificar la probabilidad</t>
  </si>
  <si>
    <t>Nivel</t>
  </si>
  <si>
    <t>Frecuencia</t>
  </si>
  <si>
    <t>El evento se presenta en la mayoria de circunstancias</t>
  </si>
  <si>
    <t>Se ha presentado al menos una vez en el último mes</t>
  </si>
  <si>
    <t>Se presentan eventos de manera frecuente</t>
  </si>
  <si>
    <t>Se ha presentado al menos una vez  en los últimos dos meses</t>
  </si>
  <si>
    <t>Se presentan eventos ocasionalmente</t>
  </si>
  <si>
    <t>Se ha presentado al menos dos veces en el último año</t>
  </si>
  <si>
    <t>El evento no es probable que ocurra</t>
  </si>
  <si>
    <t>Se ha presentado al menos una vez  una vez en el último año</t>
  </si>
  <si>
    <t>Rara vez</t>
  </si>
  <si>
    <t>El evento solo puede ocurrir en circunstancias excepcionales</t>
  </si>
  <si>
    <t>No se ha presentado en el ultimo año</t>
  </si>
  <si>
    <t>Registro</t>
  </si>
  <si>
    <t>Articulación Interinstitucional</t>
  </si>
  <si>
    <t>Riesgo de Corrupción</t>
  </si>
  <si>
    <t>Baja</t>
  </si>
  <si>
    <t>Estapa Judicial (Gestión de Restitución Ley 1448)</t>
  </si>
  <si>
    <t>Articulación para el Cumplimiento de las Órdenes</t>
  </si>
  <si>
    <t>Medidas de Prevención</t>
  </si>
  <si>
    <t>Atención al Ciudadano</t>
  </si>
  <si>
    <t>Caracterizaciones y Registro</t>
  </si>
  <si>
    <t>Estapa Judicial (Gestión de Restitución de Derechos Étnicos Territoriales)</t>
  </si>
  <si>
    <t>Cumplimiento Órdenes URT</t>
  </si>
  <si>
    <t>Planeación Estratégica</t>
  </si>
  <si>
    <t>Evaluación Sistema de Control Interno</t>
  </si>
  <si>
    <t>Gestión de Comunicaciones</t>
  </si>
  <si>
    <t>Prevención y Gestión de Seguridad</t>
  </si>
  <si>
    <t>Gestión del Conocimiento e Información</t>
  </si>
  <si>
    <t>Mejoramiento Continuo</t>
  </si>
  <si>
    <t>Gestión Logística y de Rec. Físicos</t>
  </si>
  <si>
    <t>Gestión Talento Humano</t>
  </si>
  <si>
    <t>Gestión TIC</t>
  </si>
  <si>
    <t>PROBABILIDAD DE OCURRENCIA</t>
  </si>
  <si>
    <t>CASI SEGURO
(5)</t>
  </si>
  <si>
    <t>PROBABLE
(4)</t>
  </si>
  <si>
    <t>POSIBLE
(3)</t>
  </si>
  <si>
    <t>IMPROBABLE
(2)</t>
  </si>
  <si>
    <t>RARO VEZ
(1)</t>
  </si>
  <si>
    <t>INSIGNIFICANTE (1)</t>
  </si>
  <si>
    <t>MENOR
(2)</t>
  </si>
  <si>
    <t>MODERADO 
(3)</t>
  </si>
  <si>
    <t>MAYOR 
(4)</t>
  </si>
  <si>
    <t>CATASTRÓFICO
(5)</t>
  </si>
  <si>
    <t>Extrema</t>
  </si>
  <si>
    <t>E</t>
  </si>
  <si>
    <t>EXTREMA</t>
  </si>
  <si>
    <t>A</t>
  </si>
  <si>
    <t>ALTA</t>
  </si>
  <si>
    <t>M</t>
  </si>
  <si>
    <t>MODERADA</t>
  </si>
  <si>
    <t>B</t>
  </si>
  <si>
    <t>BAJA</t>
  </si>
  <si>
    <t>B: Zona de riesgo Baja: Asumir el riesgo   -   M: Zona de riesgo Moderada: Asumir el riesgo, Reducir el riesgo
A: Zona de riesgo Alta: Reducir el riesgo, Evitar, Compartir o Transferir    -     E: Zona de riesgo Extrema: Reducir el riesgo, Evitar, Compartir o Transferir</t>
  </si>
  <si>
    <t xml:space="preserve">Tomado de la “Guía para la administración del riesgo y el diseño de controles en entidades públicas” Versión 04 de Oct de 2018 </t>
  </si>
  <si>
    <r>
      <rPr>
        <sz val="10"/>
        <color rgb="FF000000"/>
        <rFont val="Arial"/>
      </rPr>
      <t xml:space="preserve">Se evidencia que la definición del riesgo ha sido actualizada. Sin embargo, se recomienda ajustar el impacto definido, ya que actualmente no se presenta con suficiente claridad. Cabe recordar que el impacto debe reflejar la consecuencia más grave que podría generarse ante la materialización del riesgo.
</t>
    </r>
    <r>
      <rPr>
        <sz val="10"/>
        <color rgb="FF002060"/>
        <rFont val="Arial"/>
      </rPr>
      <t xml:space="preserve">Respuesta GGFC 03-09-2025:
Desde el GGFC, se informa que esta calificación del impacto se basa en los criterios establecidos, tanto en la Guía “G-MC-04 Administración de Riesgos” establecida para el MJD, así como la emitida por el Departamento Administrativo de la Función Pública – DAFP, en las cuales se encuentran definidas como variables de impacto: i) Afectación Económica y ii) Afectación Reputacional, con su correspondiente calificación. Para el caso específico de este riesgo y posterior al análisis realizado, da como resultado la calificación más crítica, teniendo en el número de veces que se ejecuta la actividad, así como la criticidad de la misma.
</t>
    </r>
    <r>
      <rPr>
        <sz val="10"/>
        <color rgb="FF000000"/>
        <rFont val="Arial"/>
      </rPr>
      <t xml:space="preserve">
En este seguimiento, se observa que la dependencia no ha incorporado las recomendaciones realizadas por la OCI en el seguimiento anterior, especialmente en lo relacionado con la actualización de los controles. Asimismo, es fundamental que se realice un análisis constante de las causas identificadas, con el fin de determinar si han surgido nuevas causas derivadas de cambios en el entorno interno o externo que puedan influir en la materialización del riesgo.
</t>
    </r>
    <r>
      <rPr>
        <sz val="10"/>
        <color rgb="FF002060"/>
        <rFont val="Arial"/>
      </rPr>
      <t xml:space="preserve">Respuesta GGFC 03-09-2025:
Desde el GGFC, se informa que se han tenido en cuenta las recomendaciones realizadas por la OCI, producto de ello, las matrices de riesgos y controles fueron ajustadas con corte al primer cuatrimestre de 2025, atendiendo dichas recomendaciones.
En el mes de abril se realizó revisión desde la identificación, análisis y valoración del riesgo, con la asesoría de la OAP y el acompañamiento de la Secretaría General, los cuales cumplen con la estructura establecida en la Guía “G-MC-04 Administración de Riesgos” del MJD, así como la emitida por el Departamento Administrativo de la Función Pública – DAFP; de lo anterior se ajunta el acta respectiva y la evidencia de su implementación.
</t>
    </r>
    <r>
      <rPr>
        <sz val="10"/>
        <color rgb="FF000000"/>
        <rFont val="Arial"/>
      </rPr>
      <t xml:space="preserve">
En cuanto al análisis de causas, se informa que este se realiza anualmente, con la actualización y revisión de las matrices de riesgos y controles.
Finalmente, se recomienda que la dependencia formule acciones dentro del plan de tratamiento que contribuyan al fortalecimiento de los controles establecidos, mejorando así su efectividad y la gestión integral del riesgo.
</t>
    </r>
    <r>
      <rPr>
        <sz val="10"/>
        <color rgb="FF002060"/>
        <rFont val="Arial"/>
      </rPr>
      <t>Respuesta GGFC 03-09-2025::
Teniendo en cuenta que el riesgo residual quedó ubicado en una zona moderada, y de acuerdo con lo establecido en la Guía “G-MC-04 Administración de Riesgos” del MJD, así como la emitida por el Departamento Administrativo de la Función Pública – DAFP, no se generan acciones para su tratamiento y se asume el riesgo.</t>
    </r>
  </si>
  <si>
    <r>
      <rPr>
        <sz val="10"/>
        <color rgb="FF000000"/>
        <rFont val="Arial"/>
      </rPr>
      <t xml:space="preserve">En el presente seguimiento se evidencia que la dependencia ha venido actualizando la descripción del riesgo.
Desde la OCI se recomienda que la dependencia lleve a cabo una revisión, análisis y actualización de los controles actualmente definidos. Asimismo, se sugiere implementar un control orientado a la emisión de alertas periódicas sobre la ejecución presupuestal y las reservas, con el fin de anticipar y gestionar de manera oportuna la constitución de reservas.
</t>
    </r>
    <r>
      <rPr>
        <sz val="10"/>
        <color rgb="FF002060"/>
        <rFont val="Arial"/>
      </rPr>
      <t xml:space="preserve">Respuesta GGFC 03-09-2025:
Desde el GGFC, se informa que el control establecido esta orientado a la generación de reportes mensuales a las dependencias, con el fin de poder identificar alertas tempranas sobre la ejecución presupuestal.
</t>
    </r>
    <r>
      <rPr>
        <sz val="10"/>
        <color rgb="FF000000"/>
        <rFont val="Arial"/>
      </rPr>
      <t xml:space="preserve">
La recomendación anterior puede traducirse en una acción dentro del plan de tratamiento, contribuyendo así al fortalecimiento de los controles existentes. Es importante tener presente que la actualización oportuna de los controles es fundamental, ya que controles débiles pueden resultar insuficientes para evitar la materialización del riesgo.
Adicionalmente, se insiste en la necesidad de que la dependencia formule acciones específicas dentro del plan de tratamiento que refuercen la implementación de los controles y aumenten su efectividad.
</t>
    </r>
    <r>
      <rPr>
        <sz val="10"/>
        <color rgb="FF002060"/>
        <rFont val="Arial"/>
      </rPr>
      <t xml:space="preserve">Respuesta GGFC 03-09-2025:
Teniendo en cuenta que el riesgo residual quedó ubicado en una zona baja, y de acuerdo con lo establecido en la Guía “G-MC-04 Administración de Riesgos” del MJD, así como la emitida por el Departamento Administrativo de la Función Pública – DAFP, no se generan acciones para su tratamiento y se asume el riesgo."
</t>
    </r>
    <r>
      <rPr>
        <sz val="10"/>
        <color rgb="FF000000"/>
        <rFont val="Arial"/>
      </rPr>
      <t xml:space="preserve">
</t>
    </r>
  </si>
  <si>
    <r>
      <rPr>
        <b/>
        <sz val="11"/>
        <color theme="1"/>
        <rFont val="Calibri"/>
        <family val="2"/>
        <scheme val="minor"/>
      </rPr>
      <t>EL RIESGO SE ELIMINA
En reunión con la OAP, el 25/08/25, se determinó la eliminación de este control:</t>
    </r>
    <r>
      <rPr>
        <sz val="11"/>
        <color theme="1"/>
        <rFont val="Calibri"/>
        <family val="2"/>
        <scheme val="minor"/>
      </rPr>
      <t xml:space="preserve">
"Se revisaron y ajustaron los riesgos del proceso misional P-SJ-01, en atención a las recomendaciones de la Oficina de Control Interno (OCI) y conforme a lo trabajado en la reunión con la Oficina Asesora de Planeación (OAP). Como resultado de esta revisión conjunta... se acogió la sugerencia planteada por la OAP de eliminar el riesgo asociado al procedimiento P-SJ-03, considerando que dicho riesgo se encuentra plenamente controlado y los puntos de control se ejecutan de manera permanente, de igual manera ha mantenido una calificación baja durante más de dos vigencias y no se ha materializado. De igual manera, se efectuó una revisión de las causas identificadas en este procedimiento, concluyéndose que únicamente existe una causa específica y relevante, lo cual refuerza la pertinencia de su eliminación."
</t>
    </r>
    <r>
      <rPr>
        <b/>
        <sz val="11"/>
        <color theme="1"/>
        <rFont val="Calibri"/>
        <family val="2"/>
        <scheme val="minor"/>
      </rPr>
      <t>REPORTE SEGUNDO CUATRIMESTRE 2025:</t>
    </r>
    <r>
      <rPr>
        <sz val="11"/>
        <color theme="1"/>
        <rFont val="Calibri"/>
        <family val="2"/>
        <scheme val="minor"/>
      </rPr>
      <t xml:space="preserve">
</t>
    </r>
    <r>
      <rPr>
        <b/>
        <sz val="11"/>
        <color theme="1"/>
        <rFont val="Calibri"/>
        <family val="2"/>
        <scheme val="minor"/>
      </rPr>
      <t xml:space="preserve">El riesgo no se materializó. </t>
    </r>
    <r>
      <rPr>
        <sz val="11"/>
        <color theme="1"/>
        <rFont val="Calibri"/>
        <family val="2"/>
        <scheme val="minor"/>
      </rPr>
      <t>El control SI ha sido efectivo durante el segundo cuatrimestre de 2025:
Las entidades que han implementado procesos de depuración normativa usando los criterios de depuración normativa incluidos en los lineamientos o metodologías de depuración normativa elaboradas por la DDDOJ, no han formulado observaciones sobre falta de claridad jurídica de la redacción de los criterios de depuración normativa, ni han expresado ninguna crítica o reparo sobre estos. Por lo anterior, las entidades usuarias de los criterios de depuración normativa no han reportado procesos deficientes de depuración normativa.
Adicionalmente, el equipo de trabajo del grupo de calidad normativa revisó la claridad jurídica de los criterios de depuración normativa que se encuentran vigentes. La claridad de los criterios y su aceptación y aplicación por parte de las entidades que los han utilizado ha hecho que se mantengan sin cambios.</t>
    </r>
  </si>
  <si>
    <t>El equipo financiero de la Subdirección realiza requerimientos anuales a los licenciatarios paras que realicen el pago de las cuotas de seguimiento adeudadas a través del gestor documental con el propósito de realizar la gestión de cobro de manera oportuna. Adicionalmente, el lider del equipo financiero, informa al equipo de seguimiento y control sobre los licenciatarios clasificados en categoria C y D, quienes conformarán el expediente para posterior remisión al Grupo de Actuaciones Administrativas a fin de iniciar las actuaciones de cobro coactivo.
Como evidencia queda: 
Base de datos con seguimiento a los requerimientos realizados.</t>
  </si>
  <si>
    <t>Posibilidad de afectación reputacional para la entidad por deficiencias en la calidad y actualización de los datos suministrados por las entidades fuente, debido a la falta de seguimiento y control a las fuentes de datos y tableros de control por parte del Ministerio de Justicia y del Derecho.</t>
  </si>
  <si>
    <t>En el presente seguimiento se evidencia que la dependencia ha implementado los controles existentes.
Sin embargo, se observa que la dependencia realizó un muestreo de calidad en el proceso de radicación, actividad que resulta pertinente, pero que debería contar con un control definido o, en su defecto, incorporarse como una acción dentro del plan de tratamiento. Esto se recomienda teniendo en cuenta que el control 3 no guarda correspondencia con la descripción registrada por la dependencia en el monitoreo de dicho control.
Adicionalmente, se reitera la recomendación realizada por la OCI en el seguimiento anterior respecto a la necesidad de incluir acciones específicas en el plan de tratamiento. Los informes de gestión han evidenciado de manera recurrente errores en la radicación de comunicaciones o en la tipificación de las mismas, lo cual refuerza la importancia de este ajuste.
Si bien el nivel de riesgo residual se mantiene bajo, resulta fundamental que se implementen acciones complementarias como el plan de tratamiento que fortalezcan la efectividad de los controles. Dichas acciones pueden corresponder a las descritas en el monitoreo, siempre que se diferencien claramente de los controles ya establecidos.
Finalmente, se exhorta a la dependencia a continuar con la implementación de los controles y a mantener una revisión permanente del entorno interno y externo del proceso, con el fin de garantizar una administración del riesgo dinámica y ajustada a la realidad institucional.</t>
  </si>
  <si>
    <t>A partir de las evidencias presentadas, se constata la implementación de los controles. Sin embargo, se advierte que algunas evidencias no fueron aportadas, por lo cual se exhorta a la dependencia a entregar la totalidad de los soportes correspondientes, de manera que se disponga de un panorama completo sobre la implementación de los controles y se pueda verificar la efectividad de los mismos.
Por otra parte, aunque el riesgo residual se mantiene en un nivel bajo, se recomienda a la dependencia formular acciones específicas en el plan de tratamiento, dado que desde la OCI se identifica la necesidad de fortalecer los controles mediante dichas acciones.
Finalmente, se insta a la dependencia a continuar con la implementación de los controles y a mantener una revisión constante del entorno interno y externo del proceso, con el fin de asegurar una administración del riesgo dinámica y ajustada a la realidad institucional.</t>
  </si>
  <si>
    <t>Se evidencia que la dependencia aún no ha acogido las recomendaciones de la OCI respecto a la definición del impacto en la descripción del riesgo. Resulta fundamental precisar cuál es la consecuencia de mayor gravedad que puede sufrir la entidad en caso de materializarse el riesgo, ya que la forma actual de redacción genera ambigüedad. En este sentido, se recomienda que en la definición del impacto se consigne una única afectación o, en su defecto, se emplee el conector “y” para clarificar el impacto.
En relación con el control 2, no es posible verificar su efectividad, dado que las evidencias aportadas no corresponden con lo descrito en la definición del control. Por lo tanto, se espera que la dependencia subsane esta falencia para comprobar si realmente contribuye a la mitigación del riesgo.
Respecto a los controles 3 y 4, definidos para atender la causa 3, se observa que podrían unificarse, ya que comparten la misma evidencia. No obstante, la OCI recomienda que dichos controles se asocien a la causa 1, pues al contrastar su contenido no se evidencia cómo abordan la deficiente definición de criterios —que es lo planteado en la causa 3—, sino que se enfocan en verificar el cumplimiento de la documentación requerida, y no en la definición de criterios técnicos, legales y/o financieros para la elaboración de los estudios previos.
En cuanto a los controles 5 y 6, la OCI mantiene la posición de que el GGC debe ejercer supervisión tanto sobre estos procesos como sobre el propio supervisor del contrato. En consecuencia, se sugiere revisar lo descrito en el riesgo de corrupción con este fin. Asimismo, si este riesgo y control ya se encuentra identificación como riesgo de corrupción, se recomienda realizar la unificación del mismo en una sola matriz.
Adicionalmente, se recomienda a la dependencia revisar la definición de las acciones del plan de tratamiento, dado que en su estado actual no cumplen con la función de fortalecer la implementación de los controles. Cabe recordar que las capacitaciones, por sí solas, no generan el mismo valor agregado que otras acciones que podrían adoptarse.
Finalmente, se exhorta a la dependencia a tener en cuenta las recomendaciones de la OCI para el próximo seguimiento.</t>
  </si>
  <si>
    <t>En el presente seguimiento se evidencia que no se ha realizado la corrección en la definición del impacto, tal como lo señaló la OCI en el seguimiento anterior. Sin embargo, y de acuerdo con lo manifestado por la dependencia, resulta fundamental que este se defina de manera precisa en la descripción del riesgo, ya sea como: i) Afectación económica, ii) Afectación reputacional, o ambas, según corresponda. Lo anterior, dado que en la actualidad el impacto se encuentra descrito únicamente como “efecto dañoso”, lo cual no representa de forma clara una afectación. Por ello, se reitera la importancia de ajustar la definición del impacto de manera adecuada.
De las evidencias presentadas se constata que la dependencia continúa implementando correctamente los controles conforme a lo establecido.
Finalmente, se recuerda a la dependencia la importancia de mantener una administración del riesgo dinámica, que incorpore los cambios del entorno interno y externo, de manera que se actualicen oportunamente tanto la descripción del riesgo como los controles definidos.</t>
  </si>
  <si>
    <t>A partir de las evidencias aportadas por la dependencia, se constata que esta ha continuado con la implementación de los controles conforme a lo definido.
Finalmente, se exhorta a la dependencia a mantener una administración del riesgo dinámica, que incorpore los cambios del entorno interno y externo para la actualización de la descripción del riesgo y de los controles. Lo anterior, con el propósito de identificar oportunamente causas internas del proceso que puedan ser gestionadas y mantenidas bajo control, en la medida en que sea posible.</t>
  </si>
  <si>
    <t>Con las evidencias aportadas por la dependencia, se constata que ha continuado con la implementación de los controles conforme a lo definido.
No obstante, se observa que existe un único control asignado a las causas 2, 3 y 4, el cual no guarda relación directa con la causa 2, dado que esta hace referencia a la falta de conocimiento de los supervisores del contrato, mientras que el control se centra en la validación del diligenciamiento de un formato. En este sentido, no resulta claro cómo dicho control contribuye a que los supervisores adquieran conocimientos en materia de reservas presupuestales.
Adicionalmente, se insta a la dependencia a aportar la evidencia descrita en el control 2, ya que para el presente seguimiento no se encontraron los formatos F-GF-01-06 ni los correos enviados a las dependencias.
Finalmente, se exhorta a la dependencia a mantener una administración del riesgo dinámica que incorpore los cambios del entorno tanto interno como externo, con el fin de actualizar oportunamente la descripción del riesgo y sus controles. Lo anterior permitirá identificar causas internas que puedan ser gestionadas y mantenidas bajo control, en la medida en que ello sea posible.</t>
  </si>
  <si>
    <t>Para el presente seguimiento se evidencia que la dependencia no ha acatado las recomendaciones de la OCI orientadas a fortalecer la implementación de los controles con el fin de mitigar la materialización del riesgo.
En este sentido, la OCI reitera la necesidad de ajustar el control 2, de manera que la responsabilidad de su implementación no recaiga exclusivamente en el proveedor del servicio. Adicionalmente, dentro de las evidencias de este control no es posible constatar, a través del coordinador del GGA o de quien se delegue, que efectivamente se hayan realizado las capacitaciones al personal, más allá de lo que manifiesta el proveedor en el informe de supervisión.
Es fundamental que la dependencia garantice la adecuada implementación de cada control, ya que las minutas aportadas como evidencia corresponden al primer cuatrimestre de la vigencia, lo cual limita la verificación actual. De igual manera, se identificó que las evidencias del control 1 no fueron presentadas en su totalidad; por ello, se recomienda a la dependencia verificar la completitud de los soportes antes de cargarlos en la carpeta compartida.
Finalmente, se espera que para el próximo seguimiento la dependencia tenga en cuenta las observaciones realizadas por la OCI en este informe.</t>
  </si>
  <si>
    <t>Para el presente seguimiento se evidencia que la dependencia no ha acatado ninguna de las recomendaciones formuladas por la OCI, las cuales se reiteran en los mismos términos expuestos en el seguimiento anterior.
Adicionalmente, no fue posible constatar la implementación de los controles, dado que las evidencias presentadas corresponden al primer cuatrimestre de la vigencia —corte que ya había sido evaluado—. En este sentido, se exhorta a la dependencia a aportar las evidencias que correspondan al periodo objeto de evaluación, con el fin de verificar efectivamente la implementación de los controles definidos.
Finalmente, se espera que para el próximo seguimiento la dependencia atienda las observaciones realizadas por la OCI en el presente informe.</t>
  </si>
  <si>
    <t>Para el presente seguimiento se evidencia que la dependencia continúa con la implementación de los controles de manera efectiva, aportando las evidencias conforme a lo descrito en su definición.
Adicionalmente, en atención a la capacitación dictada por la OAP el 11 de agosto de la presente vigencia, se recomienda a la dependencia precisar en la descripción del riesgo el impacto como: i) Afectación reputacional, ii) Afectación económica, o, en caso de considerarlo pertinente, ambas. De esta forma, se establece con mayor claridad la consecuencia más grave que podría enfrentar la entidad en caso de materializarse el riesgo.
Finalmente, se recuerda a la dependencia la importancia de mantener una administración del riesgo dinámica, que contemple los cambios en el entorno interno y externo, con el fin de actualizar oportunamente la descripción del riesgo y los controles definidos.</t>
  </si>
  <si>
    <t>Para el presente seguimiento se evidencia que la dependencia ajustó la definición del riesgo, logrando una redacción más clara y alineada con la estructura de un riesgo de gestión. Asimismo, se realizaron ajustes en la identificación de las causas dentro de la matriz, lo que demuestra que una correcta definición del riesgo facilita la identificación de causas y controles pertinentes.
Por otra parte, se recomienda a la dependencia incluir un control específico para la causa 3, dado que el control actualmente asociado se orienta a la formulación de planes y no a su limitada implementación, que es precisamente el aspecto que podría dar lugar a la materialización del riesgo en relación con dicha causa.
Finalmente, se constata que la dependencia continúa con la implementación de los controles y se le insta a mantener una administración del riesgo dinámica, en procura de la mejora continua de la entidad.</t>
  </si>
  <si>
    <t>Con la evidencia presentada por la dependencia, se constata que continúa con la implementación de los controles establecidos.
Para el próximo seguimiento, se sugiere ampliar la muestra de las evidencias aportadas, de manera que se cuente con un panorama más representativo de la realidad institucional y se pueda comprobar con mayor rigor la efectividad de los controles.
Finalmente, se recuerda a la dependencia la importancia de mantener una administración del riesgo dinámica, que tenga en cuenta los cambios del entorno interno y externo para la actualización oportuna del riesgo y de los controles asociados.</t>
  </si>
  <si>
    <t>Para el presente seguimiento se evidencia que la dependencia ajustó la definición del riesgo, logrando que esta sea más clara y alineada a la estructura de un riesgo de gestión. No obstante, se recomienda incluir dentro de la definición la causa raíz, ya que en su estado actual no se identifica con facilidad, y esta debe ser comprensible para cualquier lector.
Por otra parte, persiste la falencia en la formulación de los controles, dado que no presentan una estructura adecuada ni describen de manera precisa las acciones a seguir, aspecto que debe estar claramente establecido en la definición del control.
Asimismo, las evidencias aportadas no corresponden a lo descrito en la definición de los controles, lo que hace imprescindible que la dependencia realice una correcta formulación de estos, de manera que puedan implementarse adecuadamente y contribuir a mitigar la materialización del riesgo.
Finalmente, se exhorta a la dependencia a tener en cuenta las observaciones de la OCI para el próximo seguimiento, con el fin de que esta oficina pueda emitir un concepto sobre la implementación de los controles y se avance hacia una adecuada administración del riesgo.</t>
  </si>
  <si>
    <t>Para el presente seguimiento se evidencia que la dependencia realizó los ajustes pertinentes en la administración del riesgo, en atención a que este se había materializado.
No obstante, no se observa una actualización o redefinición de los controles, acción que resulta imprescindible para contar con una nueva estructuración del riesgo tras su materialización. Lo anterior, considerando que si el riesgo llegó a materializarse fue debido a fallas en los controles existentes.
Adicionalmente, se recomienda ajustar el diligenciamiento de la columna P e incluir como acciones del plan de tratamiento aquellas descritas por la dependencia en el monitoreo de este cuatrimestre, las cuales fueron utilizadas para fortalecer los controles.
Finalmente, se exhorta a la dependencia a tener en cuenta las recomendaciones de la OCI para el próximo seguimiento.</t>
  </si>
  <si>
    <t>Se evidencia que la dependencia ha ajustado nuevamente la descripción del riesgo, garantizando con ello una estructura adecuada, en concordancia con las directrices de la entidad y alineada con lo establecido en la guía de administración del riesgo del DAFP.
No obstante, se recomienda a la dependencia revisar y actualizar las causas y controles definidos, considerando que el riesgo fue modificado y actualizado. En este sentido, resulta relevante identificar si existen causas adicionales que puedan dar lugar a su materialización y, de ser así, establecer controles orientados a su mitigación.
Finalmente, se exhorta a la dependencia a tener en cuenta las observaciones de la OCI para el próximo seguimiento.</t>
  </si>
  <si>
    <t>Para el presente seguimiento se evidencia que la dependencia ha decidido eliminar el riesgo, argumentando que este nunca se ha materializado y que existen controles que permiten mitigar su posible ocurrencia.
Sin embargo, la OCI recomienda que dichos controles se encuentren formalmente documentados en instrumentos propios de la dependencia, tales como procedimientos, guías u otros similares.
Asimismo, se sugiere a la dependencia validar la creación de un riesgo que permita racionalizar los actualmente existentes, considerando que los controles se formulan por cada procedimiento. Es importante recordar que la administración del riesgo debe realizarse a nivel de proceso y no de cada uno de los subprocesos que este contenga.</t>
  </si>
  <si>
    <t>Para el presente seguimiento se evidencia que la dependencia ha actualizado la definición del riesgo. No obstante, la OCI sugiere adoptar la siguiente descripción:
"Posibilidad de afectación reputacional, por la formulación insuficientemente validada de los lineamientos para las Comisarías de Familia, debido a la falta de análisis integral o de mecanismos de control de calidad en su expedición."
Lo anterior, dado que la definición actual elaborada por la dependencia no resulta lo suficientemente clara, pues incluye múltiples elementos que dificultan su comprensión inmediata.
Asimismo, se constata la actualización de las causas y los controles; sin embargo, se recomienda a la dependencia mejorar la redacción de los controles, ya que en su forma actual carecen de una descripción precisa, lo que puede dificultar su correcta interpretación e implementación.
Es fundamental recordar que la definición de cada control debe contener, como mínimo: un responsable, periodicidad, propósito y las acciones a seguir en caso de incumplimiento. Estas condiciones mínimas garantizan su adecuada aplicación y efectividad.
Finalmente, se exhorta a la dependencia a tener en cuenta las recomendaciones de la OCI para el próximo seguimiento.</t>
  </si>
  <si>
    <t>Para el presente seguimiento se evidencia que la dependencia realizó una adecuada actualización de las causas que pueden dar lugar a la materialización de los riesgos.
No obstante, se recomienda actualizar los controles de manera que trasciendan de la capacitación e incorporen mecanismos que permitan verificar si los funcionarios están aplicando correctamente los lineamientos establecidos para cada programa y/o estrategia de la dependencia.
Finalmente, con las evidencias aportadas se constata que la dependencia ha continuado con la implementación de los controles, por lo que se le insta a mantener y fortalecer este proceso.</t>
  </si>
  <si>
    <t>Se constata que la dependencia mantiene la implementación de los controles definidos para mitigar la materialización del riesgo.
Sin embargo, se recomienda efectuar un análisis permanente y actualizado de las causas, conforme a lo sugerido por la OCI en seguimientos anteriores. Esta práctica permitirá fortalecer la gestión del riesgo y asegurar su alineación con los cambios del entorno institucional.</t>
  </si>
  <si>
    <t>Se evidencia que la dependencia ha continuado con una adecuada administración del riesgo.
No obstante, para el presente seguimiento se recomienda presentar las evidencias de manera que permita identificar con claridad a qué control corresponde cada una, así como aportar una muestra más representativa que refleje de forma integral la implementación de los controles.
Asimismo, se exhorta a la dependencia a mantener una administración del riesgo dinámica que contemple los cambios tanto del entorno interno como externo para la actualización de sus riesgos y controles.
Finalmente, se insta a la dependencia a considerar las recomendaciones de la OCI para el próximo seguimiento.</t>
  </si>
  <si>
    <t>Se evidencia que, para el presente seguimiento, la dependencia no acató ninguna de las recomendaciones realizadas por la OCI. Aún persiste la necesidad de estructurar o definir un control para la causa 2, así como de presentar la evidencia correspondiente a la implementación del control establecido.
En consecuencia, no es posible efectuar una revisión y evaluación adecuada por parte de la OCI hasta tanto la dependencia no realice las correcciones de fondo en la administración del riesgo.
Asimismo, se exhorta a la dependencia a llevar a cabo un ejercicio de revisión, actualización y redefinición del riesgo, así como a considerar la opción de racionalizar los riesgos existentes. Se observa que actualmente se maneja un riesgo por cada procedimiento, cuando la adecuada administración debe realizarse a nivel de procesos. Por ello, se recomienda evaluar la posibilidad de unificar o racionalizar los riesgos.
Finalmente, se invita a la dependencia a tener en cuenta las observaciones de la OCI para el próximo seguimiento.</t>
  </si>
  <si>
    <t>Se observa que, para el presente seguimiento, la dependencia ha realizado una actualización integral del riesgo. No obstante, se recomienda revisar la definición de los controles, de manera que cuenten con una descripción clara y precisa que permita su correcta aplicación.
Por otra parte, aunque en el monitoreo la dependencia señala que este riesgo es transversal, resulta imprescindible definir con claridad quién será el responsable y quién asumirá la administración del riesgo. Esto es fundamental para garantizar que exista una dependencia encargada de realizar las actualizaciones en la definición del riesgo y de los controles, ya que no es aceptable que la responsabilidad quede sin asignación.
En este sentido, cuando la dependencia realice la mesa de trabajo con la OAP, deberá establecerse formalmente qué dependencia asumirá la responsabilidad y administración del riesgo, pues será la encargada de reportar los avances cuatrimestrales en la gestión del mismo.
Finalmente, se espera que para el próximo seguimiento la dependencia atienda esta recomendación, de manera que se cuente con una gestión del riesgo clara, organizada y debidamente reportada.</t>
  </si>
  <si>
    <t>Se observa que, para el presente seguimiento, la dependencia ha realizado una actualización integral del riesgo. No obstante, se recomienda revisar la definición de los controles, de manera que cuenten con una descripción adecuada que facilite su correcta aplicación.
Por otra parte, aunque en el monitoreo se indica que este riesgo es transversal, resulta imprescindible que se defina con claridad qué dependencia asumirá la responsabilidad y la administración del mismo. Esto es fundamental, ya que debe existir un encargado de actualizar la definición del riesgo y de los controles; no es aceptable que dicha responsabilidad quede sin asignación.
En este sentido, cuando la dependencia realice una mesa de trabajo con la OAP, deberá precisarse qué dependencia tendrá a su cargo la responsabilidad y/o administración del riesgo, pues será la encargada de reportar los avances cuatrimestrales en su gestión.
Adicionalmente, conforme a la capacitación dictada por la OAP el 11 de agosto de la presente vigencia, se recomienda a la dependencia redefinir el impacto en la descripción del riesgo, especificando si corresponde a: i) Afectación reputacional, ii) Afectación económica o, en caso de considerarlo pertinente, ambas.
Finalmente, se espera que para el próximo seguimiento la dependencia atienda estas recomendaciones, de modo que se logre un adecuado reporte y una gestión del riesgo más clara y efectiva.</t>
  </si>
  <si>
    <t>Se observa que, para el presente seguimiento, la dependencia realizó ajustes en el control definido para abordar la causa identificada.
Se resalta que la dependencia continúa con la implementación de los controles establecidos para mitigar la probabilidad de materialización del riesgo. Sin embargo, se reitera la necesidad de efectuar un nuevo análisis de causas, dado que existen múltiples factores que podrían generar errores en el proceso de expedición del CCITE, tales como la ausencia de manuales o guías claras, la falta de estandarización del proceso, o la insuficiente articulación entre las entidades que intervienen durante el proceso, entre otros.
Finalmente, se espera que para el próximo seguimiento la dependencia tenga en consideración las observaciones realizadas por la OCI.</t>
  </si>
  <si>
    <t>Se evidencia que, para el presente seguimiento, la dependencia actualizó la descripción del riesgo. No obstante, desde la OCI se sugiere la siguiente redacción:
"Posibilidad de pérdida de recursos económicos que afectan la operatividad de las actividades misionales, por la falta de gestión oportuna y eficiente de los cobros asociados a licencias otorgadas en la modalidad de cuotas, derivadas de debilidades en los procesos de recaudo, en el diseño del sistema de información y en la articulación de los controles de seguimiento."
Lo anterior obedece a que la definición presentada por la dependencia no se encuentra formulada de manera clara ni alineada a la estructura de un riesgo de gestión. Cabe precisar que, en caso de acoger esta recomendación, la dependencia deberá analizar y verificar que las causas incluidas correspondan a su realidad institucional.
Adicionalmente, se observa que las causas fueron actualizadas y ajustadas a la realidad institucional, al igual que los controles. Sin embargo, el control 1 carece de una definición adecuada, ya que no incorpora todos los elementos necesarios para su correcta implementación. Por ello, se insta a la dependencia a revisar y fortalecer la definición de los controles para el próximo seguimiento.
Por otra parte, no se aportaron todas las evidencias que respalden la implementación de los controles ni de las acciones del plan de tratamiento. En este sentido, se recomienda evaluar la incorporación de un control de contingencia en caso de fallas del aplicativo, así como la implementación de una supervisión aleatoria de las cuentas de cobro generadas, con el fin de verificar que estas se encuentren correctamente liquidadas.
Finalmente, se insta a la dependencia a considerar las presentes observaciones para el próximo seguimiento.</t>
  </si>
  <si>
    <t>Para el presente seguimiento, la OCI recomienda a la dependencia precisar en la definición del riesgo cuál de las dos afectaciones constituye la consecuencia de mayor gravedad en caso de materializarse, o si ambas aplican, con el fin de evitar ambigüedades en su interpretación. Lo anterior, en línea con la capacitación dictada por la OAP el 11 de agosto.
Con las evidencias aportadas, se constata que la dependencia continúa implementando de manera adecuada los controles. Asimismo, se observa que se ajustaron las acciones del plan de tratamiento, lo que ha permitido fortalecer la implementación de dichos controles.
En este sentido, se insta a la dependencia a que, para el próximo seguimiento, incluya también evidencias de la implementación de las acciones del plan de tratamiento.
Finalmente, se exhorta a la dependencia a tener en consideración las observaciones de la OCI para el próximo seguimiento.</t>
  </si>
  <si>
    <t>Se constata que, para el presente seguimiento, la dependencia ha ajustado los controles, definiéndolos de manera específica para cada una de las causas identificadas.
No obstante, se recomienda que la definición del impacto en el riesgo inicie con la expresión “Posibilidad de afectación reputacional”, conforme a los lineamientos impartidos por la OAP durante la retroalimentación del 11 de agosto del presente año.
Adicionalmente, se sugiere a la dependencia evaluar la pertinencia de establecer un control orientado a garantizar que el peticionario reciba información clara sobre el procedimiento de solicitud de indulto desde el centro penitenciario, o bien, la creación de una guía con los requisitos necesarios para facilitar este proceso a los solicitantes. Lo anterior permitiría atender la causa 1 desde su origen.
De igual forma, la OCI recomienda revisar las acciones del plan de tratamiento, dado que actualmente se relacionan estrechamente con la implementación de los controles, cuando su propósito principal es fortalecer dicha implementación.
Finalmente, se exhorta a la dependencia a tener en cuenta las observaciones de la OCI para el próximo seguimiento y a presentar las evidencias correspondientes de la implementación de los controles una vez se ejecuten.</t>
  </si>
  <si>
    <t>En el presente seguimiento se observa que la dependencia realizó una actualización en la descripción del riesgo. Sin embargo, esta aún carece de una estructura clara. Por lo anterior, la OCI sugiere la siguiente definición:
"Posibilidad de afectación reputacional, por la falta de gestión y liderazgo en el traslado oportuno de los hallazgos del monitoreo de la garantía de derechos de adolescentes y jóvenes del SRPA, debido a la inadecuada aplicación de los controles establecidos en los lineamientos internos y en la normatividad del Sistema Integrado de Gestión – SIG del MJD."
Esta redacción resulta más clara, concisa y alineada con la estructura de un riesgo de gestión.
Por otra parte, si bien la dependencia actualizó las causas, se evidencia que estas no fueron correctamente identificadas, ya que coinciden con lo descrito en la definición del riesgo. En este sentido, se recomienda que, para el próximo seguimiento, la dependencia realice nuevamente la identificación de las causas aplicando una metodología como los 5 porqués o espina de pescado, entre otras.
En consecuencia, la formulación de los controles tampoco se presenta de manera adecuada, pues al no estar correctamente identificadas las causas, los controles carecen de alineación con estas. Para el próximo seguimiento, la dependencia deberá reformular los controles en función de la identificación de las causas. Asimismo, se sugiere revisar las evidencias descritas en el control 1, dado que no guardan coherencia con lo consignado en su definición.
De igual manera, se recomienda valorar la posibilidad de incorporar como controles algunas de las propuestas de acciones del plan de tratamiento, ya que estas se encuentran más relacionadas con la mitigación del riesgo. No obstante, es indispensable que previamente se realice la correcta identificación de las causas.
Finalmente, se espera que, para el próximo seguimiento, la dependencia atienda las observaciones de la OCI, mejore la descripción del riesgo y fortalezca tanto el monitoreo como la presentación de las evidencias.</t>
  </si>
  <si>
    <t>Se observa que la dependencia ajustó la descripción del riesgo; sin embargo, persisten falencias en su estructura, toda vez que no se encuentra definida la causa raíz. En este sentido, se espera que para el próximo seguimiento la dependencia realice el ajuste correspondiente, dado que este aspecto es indispensable para una correcta identificación de causas y para la adecuada definición de controles. Hasta tanto no se efectúe esta actividad, no será posible realizar una evaluación integral de la gestión del riesgo.
Adicionalmente, se recomienda a la dependencia fortalecer la administración del riesgo mediante su racionalización, teniendo en cuenta que los riesgos deben identificarse por procesos y no por subprocesos desarrollados en la entidad.
Finalmente, se insta a la dependencia a acoger las recomendaciones de la OCI para garantizar una adecuada gestión del riesgo. De igual manera, se solicita que, en el próximo seguimiento, en caso de que se eliminen riesgos, estos no se mantengan registrados en la matriz.</t>
  </si>
  <si>
    <t>Teniendo en cuenta los lineamientos impartidos por la OAP en la capacitación del 11 de agosto, se recomienda a la dependencia ajustar la definición del riesgo, iniciándola con la expresión “Posibilidad de afectación…”. Asimismo, se sugiere que esta definición sea más concreta y menos extensa.
Se reitera la recomendación realizada en el seguimiento anterior respecto a la necesidad de identificar nuevas causas y controles que permitan mitigar la probabilidad de ocurrencia del riesgo. De igual manera, la OCI insiste en la importancia de mejorar la descripción del monitoreo.
Adicionalmente, se recomienda a la dependencia validar las evidencias aportadas, dado que, para el presente seguimiento, se encontraron inconsistencias entre las evidencias presentadas y las descritas en el control.
Finalmente, se insta a la dependencia a considerar las observaciones de la OCI para el próximo seguimiento. De igual forma, se exhorta a realizar una revisión integral de los riesgos asociados y proceder con su racionalización, definiéndolos a nivel de procesos y no de subprocesos.</t>
  </si>
  <si>
    <t>De acuerdo con los lineamientos establecidos por la OAP en la capacitación del 11 de agosto, se recomienda a la dependencia ajustar la definición del riesgo, iniciándola con la expresión “Posibilidad de afectación…”. Asimismo, se sugiere que la nueva definición sea más concreta y no tan extensa.
Se reitera la recomendación realizada en el seguimiento anterior sobre la necesidad de identificar nuevas causas y controles que contribuyan a mitigar la probabilidad de ocurrencia del riesgo. De igual manera, la OCI insiste en la importancia de mejorar la descripción del monitoreo.
Finalmente, se insta a la dependencia a tener en cuenta las observaciones de la OCI para el próximo seguimiento. Asimismo, se exhorta a realizar una revisión integral de los riesgos asociados y proceder con su racionalización, definiéndolos a nivel de procesos y no de subprocesos.</t>
  </si>
  <si>
    <t>Se observa que la dependencia ha atendido las recomendaciones de la OCI en lo referente a la correcta definición del riesgo.
Sin embargo, para el presente seguimiento no se evidencia el cumplimiento de las demás recomendaciones, en particular respecto a la formulación de las acciones del plan de tratamiento, las cuales no están respondiendo a su propósito. Asimismo, la descripción del control 3 presenta vacíos en su estructura y definición, lo que podría afectar su adecuada implementación.
Para el próximo seguimiento se insta a la dependencia a presentar las evidencias de manera más clara, de forma que permitan constatar efectivamente la implementación de los controles. Adicionalmente, se exhorta a mejorar la descripción del monitoreo, con el fin de facilitar la comprensión del avance de los controles y reflejar de manera más precisa la realidad institucional.</t>
  </si>
  <si>
    <t>Se evidencia que, para el presente seguimiento, la dependencia ajustó la definición del riesgo. No obstante, se recomienda adoptar una versión más clara y concisa, como la siguiente:
"Posibilidad de afectación reputacional por la indisponibilidad de bienes o servicios tecnológicos, ocasionando demoras en la gestión institucional debido a la falta de recursos humanos y herramientas, derivada de una inadecuada implementación del plan de recuperación de desastres (DRP)."
Adicionalmente, se sugiere mejorar la descripción de los controles, de modo que se refleje con mayor claridad su implementación.
De igual forma, se reitera la recomendación sobre el diseño del control 3, el cual debe orientarse a mitigar la causa identificada (no activación del plan de contingencia). Cabe resaltar que este riesgo ya se ha materializado en varias ocasiones y no se ha evidenciado la aplicación del control; por ello, resulta indispensable que la dependencia formule controles adecuados y los implemente oportunamente cuando la causa se presente.
También se identifican falencias en la descripción de las acciones del plan de tratamiento, pues no están contribuyendo al fortalecimiento de los controles, así como en la descripción del monitoreo, que debe ser más precisa.
Finalmente, se insta a la dependencia a atender las recomendaciones de la OCI para el próximo seguimiento, con el fin de lograr una gestión del riesgo más efectiva.</t>
  </si>
  <si>
    <t>Se observa que la dependencia ha atendido las recomendaciones de la OCI en relación con la formulación de los controles, los cuales ahora presentan una mayor alineación. No obstante, respecto al control 1, se sugiere realizar un ajuste, ya que este se enfoca en una actividad habitual de la dependencia, sin evidenciar de qué manera contribuye a la mitigación del riesgo. Además, carece de la estructura propia de un control, lo que hace que se perciba más como una actividad que como un verdadero mecanismo de control.
En este sentido, se recomienda que dicho control se oriente a la formulación de los proyectos de inversión, considerando que el inventario de compromisos debe presentarse como una actividad o insumo del control. De igual manera, se sugiere ajustar la descripción del riesgo en coherencia con esta recomendación.
Por otra parte, se recomienda ajustar la descripción del control 3, de manera que se defina claramente su propósito, ya que en su formulación actual no resulta comprensible cómo contribuye a mitigar la materialización del riesgo.
Cabe resaltar que se evidencia la implementación adecuada de los controles conforme a su definición actual.
Finalmente, se exhorta a la dependencia a tener en cuenta las observaciones realizadas por la OCI en el presente seguimiento.</t>
  </si>
  <si>
    <t>Para el presente seguimiento se evidencia que la dependencia ha continuado con la implementación de los controles de manera adecuada.
No obstante, se recomienda nuevamente a la dependencia realizar la racionalización de este riesgo con el riesgo 43, dado que ambos pueden gestionarse de manera conjunta. Esto permitiría integrar y fortalecer los controles, administrando el riesgo de forma más adecuada y enfocada al proceso en su conjunto, y no a cada una de las actividades específicas del mismo.
Finalmente, se exhorta a la dependencia a tener en consideración las recomendaciones de la OCI para el próximo seguimiento.</t>
  </si>
  <si>
    <t>Se observa que la dependencia ha acatado las observaciones realizadas por la OCI en el seguimiento anterior. No obstante, se recomienda actualizar los controles de manera que se enfoquen efectivamente en mitigar las causas del riesgo, dado que en el control 1 no resulta claro cómo contribuye a evitar los incumplimientos en los reportes. Si bien estos se solicitan por medio de correo electrónico, este mecanismo por sí solo no garantiza el cumplimiento. En consecuencia, el control debe orientarse específicamente a prevenir los incumplimientos, situación que también aplica al control 2.
Se evidencia que la dependencia ha implementado los controles de manera adecuada conforme a la formulación actual.
Por otra parte, se recomienda a la dependencia que, para el próximo seguimiento, evalúe la posibilidad de realizar una nueva revisión de las causas que pueden dar lugar a la materialización del riesgo, con el fin de determinar si existen otras causas que permitan la formulación de controles más efectivos.
Finalmente, se espera que en el próximo seguimiento se subsanen las debilidades señaladas por la OCI en la presente revisión.</t>
  </si>
  <si>
    <t>Para el presente seguimiento se evidencia que la dependencia no realizó el ajuste en la definición del riesgo. No obstante, la OCI sugiere la siguiente redacción, más clara y concisa:
"Posibilidad de afectación reputacional por la difusión extemporánea de información sobre planes, proyectos, programas y servicios de la Entidad, ocasionada por solicitudes realizadas fuera de los tiempos establecidos, derivadas del desconocimiento de los lineamientos definidos por la Oficina de Prensa y Comunicaciones."
Asimismo, persisten las falencias en la formulación de los controles. Resulta indispensable que la dependencia realice una adecuada definición de los mismos, de manera que permitan su implementación efectiva. Cabe recordar que los controles deben estar orientados a evitar la ocurrencia de las causas y, por ende, a mitigar la materialización del riesgo. Con los controles actualmente formulados no se evidencia cómo pueden cumplir con dicha finalidad.
Finalmente, se espera que para el próximo seguimiento la dependencia subsane las falencias señaladas por la OCI en la presente revisión.</t>
  </si>
  <si>
    <t>Se evidencia que, para la presente evaluación, la dependencia no realizó ajustes frente a las falencias señaladas por la OCI en el seguimiento anterior.
En consecuencia, mientras no se adelanten las correcciones pertinentes, resulta difícil emitir una evaluación adecuada sobre la efectividad de los controles que contribuya a mitigar la materialización del riesgo y, con ello, aportar a la mejora continua de la institución en materia de gestión del riesgo.
Por lo anterior, la OCI mantendrá su posición respecto de las observaciones previamente realizadas, hasta tanto la dependencia no efectúe una revisión integral del riesgo. Se espera que, para el próximo seguimiento, sean subsanadas las falencias reportadas.</t>
  </si>
  <si>
    <t xml:space="preserve">Se evidencia que la dependencia realizó la actualización de la definición del riesgo, orientándola hacia una categoría de riesgo de gestión. No obstante, se recomienda ajustar su estructura siguiendo el esquema: Impacto + Causa inmediata + Causa raíz, con el fin de garantizar que la definición del riesgo sea clara y comprensible.
Desde la OCI se sugiere a la dependencia solicitar una mesa de trabajo con la OAP, con el propósito de recibir orientación técnica que facilite una correcta formulación de los controles. Los controles actualmente definidos carecen de una estructura adecuada, no abordan las causas identificadas del riesgo y no resultan efectivos para su mitigación.
Asimismo, es fundamental que la dependencia reporte las evidencias asociadas a la implementación de los controles. La falta de definición clara de estos dificulta tanto la presentación de evidencias como una adecuada administración del riesgo.
Para el próximo seguimiento, se espera que la dependencia tenga en cuenta las observaciones realizadas por la OCI en los seguimientos previos y en el presente, de manera que se puedan corregir las falencias detectadas y se logre una identificación más precisa del riesgo y de cada uno de sus componentes. </t>
  </si>
  <si>
    <t>Se constata que la dependencia ha continuado con la implementación de los controles, los cuales han resultado efectivos hasta el momento. No obstante, se recomienda mantener una revisión continua y actualizada de las posibles causas que puedan dar lugar a la materialización del riesgo, con el propósito de anticiparse a nuevos escenarios y fortalecer su 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</si>
</sst>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11">
    <font>
      <sz val="11"/>
      <color theme="1"/>
      <name val="Calibri"/>
      <family val="2"/>
      <scheme val="minor"/>
    </font>
    <font>
      <sz val="10"/>
      <name val="Arial"/>
      <family val="2"/>
    </font>
    <font>
      <b/>
      <sz val="11"/>
      <color theme="1"/>
      <name val="Calibri"/>
      <family val="2"/>
      <scheme val="minor"/>
    </font>
    <font>
      <sz val="11"/>
      <color indexed="8"/>
      <name val="Calibri"/>
      <family val="2"/>
    </font>
    <font>
      <b/>
      <sz val="11"/>
      <color indexed="8"/>
      <name val="Calibri"/>
      <family val="2"/>
    </font>
    <font>
      <sz val="11"/>
      <name val="Calibri"/>
      <family val="2"/>
    </font>
    <font>
      <b/>
      <sz val="10"/>
      <color indexed="8"/>
      <name val="Calibri"/>
      <family val="2"/>
    </font>
    <font>
      <sz val="11"/>
      <color indexed="9"/>
      <name val="Calibri"/>
      <family val="2"/>
    </font>
    <font>
      <sz val="10"/>
      <color indexed="8"/>
      <name val="Calibri"/>
      <family val="2"/>
    </font>
    <font>
      <sz val="8"/>
      <color indexed="8"/>
      <name val="Calibri"/>
      <family val="2"/>
    </font>
    <font>
      <sz val="10"/>
      <color theme="1"/>
      <name val="Arial"/>
      <family val="2"/>
    </font>
    <font>
      <sz val="11"/>
      <color rgb="FF000000"/>
      <name val="Calibri"/>
      <family val="2"/>
    </font>
    <font>
      <b/>
      <sz val="10"/>
      <color theme="0"/>
      <name val="Arial"/>
      <family val="2"/>
    </font>
    <font>
      <b/>
      <sz val="10"/>
      <name val="Arial"/>
      <family val="2"/>
    </font>
    <font>
      <sz val="10"/>
      <color rgb="FF003300"/>
      <name val="Arial"/>
      <family val="2"/>
    </font>
    <font>
      <sz val="12"/>
      <color theme="1"/>
      <name val="Arial"/>
      <family val="2"/>
    </font>
    <font>
      <b/>
      <sz val="9"/>
      <color indexed="81"/>
      <name val="Tahoma"/>
      <family val="2"/>
    </font>
    <font>
      <sz val="9"/>
      <color indexed="81"/>
      <name val="Tahoma"/>
      <family val="2"/>
    </font>
    <font>
      <sz val="12"/>
      <name val="Arial"/>
      <family val="2"/>
    </font>
    <font>
      <sz val="16"/>
      <color theme="1"/>
      <name val="Calibri"/>
      <family val="2"/>
      <scheme val="minor"/>
    </font>
    <font>
      <b/>
      <sz val="11"/>
      <color theme="4" tint="-0.499984740745262"/>
      <name val="Calibri"/>
      <family val="2"/>
      <scheme val="minor"/>
    </font>
    <font>
      <b/>
      <sz val="11"/>
      <color theme="7" tint="-0.499984740745262"/>
      <name val="Calibri"/>
      <family val="2"/>
      <scheme val="minor"/>
    </font>
    <font>
      <b/>
      <sz val="11"/>
      <color rgb="FF00B050"/>
      <name val="Calibri"/>
      <family val="2"/>
      <scheme val="minor"/>
    </font>
    <font>
      <b/>
      <sz val="11"/>
      <color rgb="FF7030A0"/>
      <name val="Calibri"/>
      <family val="2"/>
      <scheme val="minor"/>
    </font>
    <font>
      <b/>
      <sz val="11"/>
      <color theme="4" tint="-0.249977111117893"/>
      <name val="Calibri"/>
      <family val="2"/>
      <scheme val="minor"/>
    </font>
    <font>
      <b/>
      <sz val="11"/>
      <color theme="5" tint="-0.249977111117893"/>
      <name val="Calibri"/>
      <family val="2"/>
      <scheme val="minor"/>
    </font>
    <font>
      <sz val="72"/>
      <color theme="1"/>
      <name val="Arial"/>
      <family val="2"/>
    </font>
    <font>
      <sz val="11"/>
      <color theme="1"/>
      <name val="Calibri"/>
      <family val="2"/>
      <scheme val="minor"/>
    </font>
    <font>
      <sz val="11"/>
      <color rgb="FFFF0000"/>
      <name val="Calibri"/>
      <family val="2"/>
      <scheme val="minor"/>
    </font>
    <font>
      <sz val="11"/>
      <color rgb="FF222222"/>
      <name val="Calibri"/>
      <family val="2"/>
      <scheme val="minor"/>
    </font>
    <font>
      <b/>
      <sz val="11"/>
      <color theme="0"/>
      <name val="Calibri"/>
      <family val="2"/>
      <scheme val="minor"/>
    </font>
    <font>
      <b/>
      <i/>
      <sz val="14"/>
      <color indexed="81"/>
      <name val="Tahoma"/>
      <family val="2"/>
    </font>
    <font>
      <b/>
      <sz val="10"/>
      <color theme="0"/>
      <name val="Verdana"/>
      <family val="2"/>
    </font>
    <font>
      <b/>
      <sz val="10"/>
      <color theme="1"/>
      <name val="Verdana"/>
      <family val="2"/>
    </font>
    <font>
      <sz val="10"/>
      <color theme="1"/>
      <name val="Verdana"/>
      <family val="2"/>
    </font>
    <font>
      <b/>
      <sz val="16"/>
      <color indexed="81"/>
      <name val="Tahoma"/>
      <family val="2"/>
    </font>
    <font>
      <sz val="16"/>
      <color indexed="81"/>
      <name val="Tahoma"/>
      <family val="2"/>
    </font>
    <font>
      <b/>
      <sz val="18"/>
      <color indexed="81"/>
      <name val="Tahoma"/>
      <family val="2"/>
    </font>
    <font>
      <sz val="18"/>
      <color indexed="81"/>
      <name val="Tahoma"/>
      <family val="2"/>
    </font>
    <font>
      <sz val="11"/>
      <color theme="1"/>
      <name val="Abadi"/>
      <family val="2"/>
    </font>
    <font>
      <sz val="11"/>
      <color rgb="FF003300"/>
      <name val="Abadi"/>
      <family val="2"/>
    </font>
    <font>
      <sz val="11"/>
      <name val="Abadi"/>
      <family val="2"/>
    </font>
    <font>
      <sz val="26"/>
      <color theme="1"/>
      <name val="Calibri"/>
      <family val="2"/>
      <scheme val="minor"/>
    </font>
    <font>
      <sz val="72"/>
      <color theme="1"/>
      <name val="Calibri"/>
      <family val="2"/>
      <scheme val="minor"/>
    </font>
    <font>
      <sz val="16"/>
      <color theme="1"/>
      <name val="Arial"/>
      <family val="2"/>
    </font>
    <font>
      <sz val="48"/>
      <color theme="1"/>
      <name val="Arial"/>
      <family val="2"/>
    </font>
    <font>
      <b/>
      <i/>
      <sz val="12"/>
      <name val="Gadugi"/>
      <family val="2"/>
    </font>
    <font>
      <sz val="18"/>
      <color theme="1"/>
      <name val="Arial"/>
      <family val="2"/>
    </font>
    <font>
      <sz val="10"/>
      <color rgb="FF333333"/>
      <name val="Arial"/>
      <family val="2"/>
    </font>
    <font>
      <sz val="10"/>
      <color theme="1"/>
      <name val="Calibri"/>
      <family val="2"/>
      <scheme val="minor"/>
    </font>
    <font>
      <sz val="11"/>
      <name val="Calibri"/>
      <family val="2"/>
      <scheme val="minor"/>
    </font>
    <font>
      <sz val="11"/>
      <color rgb="FF003300"/>
      <name val="Arial"/>
      <family val="2"/>
    </font>
    <font>
      <sz val="10"/>
      <color rgb="FF0070C0"/>
      <name val="Arial"/>
      <family val="2"/>
    </font>
    <font>
      <i/>
      <sz val="10"/>
      <name val="Arial"/>
      <family val="2"/>
    </font>
    <font>
      <strike/>
      <sz val="10"/>
      <name val="Arial"/>
      <family val="2"/>
    </font>
    <font>
      <sz val="10"/>
      <color rgb="FFFF0000"/>
      <name val="Arial"/>
      <family val="2"/>
    </font>
    <font>
      <i/>
      <sz val="11"/>
      <name val="Calibri"/>
      <family val="2"/>
      <scheme val="minor"/>
    </font>
    <font>
      <i/>
      <u/>
      <sz val="11"/>
      <name val="Calibri"/>
      <family val="2"/>
      <scheme val="minor"/>
    </font>
    <font>
      <b/>
      <i/>
      <sz val="11"/>
      <name val="Calibri"/>
      <family val="2"/>
      <scheme val="minor"/>
    </font>
    <font>
      <i/>
      <u/>
      <sz val="11"/>
      <color rgb="FF3366CC"/>
      <name val="Calibri"/>
      <family val="2"/>
      <scheme val="minor"/>
    </font>
    <font>
      <i/>
      <sz val="11"/>
      <color rgb="FFFF0000"/>
      <name val="Calibri"/>
      <family val="2"/>
      <scheme val="minor"/>
    </font>
    <font>
      <sz val="10"/>
      <color rgb="FF000000"/>
      <name val="Arial"/>
      <family val="2"/>
    </font>
    <font>
      <b/>
      <sz val="10"/>
      <color rgb="FF000000"/>
      <name val="Arial"/>
      <family val="2"/>
    </font>
    <font>
      <b/>
      <i/>
      <sz val="10"/>
      <color rgb="FF000000"/>
      <name val="Arial"/>
      <family val="2"/>
    </font>
    <font>
      <u/>
      <sz val="11"/>
      <color theme="10"/>
      <name val="Calibri"/>
      <family val="2"/>
      <scheme val="minor"/>
    </font>
    <font>
      <i/>
      <sz val="11"/>
      <color rgb="FF3366CC"/>
      <name val="Calibri"/>
      <family val="2"/>
      <scheme val="minor"/>
    </font>
    <font>
      <b/>
      <sz val="11"/>
      <color theme="1"/>
      <name val="Abadi"/>
      <family val="2"/>
    </font>
    <font>
      <b/>
      <sz val="11"/>
      <name val="Abadi"/>
      <family val="2"/>
    </font>
    <font>
      <b/>
      <sz val="10"/>
      <color theme="1"/>
      <name val="Arial"/>
      <family val="2"/>
    </font>
    <font>
      <sz val="11"/>
      <color rgb="FF000000"/>
      <name val="Calibri"/>
      <family val="2"/>
      <scheme val="minor"/>
    </font>
    <font>
      <sz val="12"/>
      <color theme="1"/>
      <name val="Calibri"/>
      <family val="2"/>
      <scheme val="minor"/>
    </font>
    <font>
      <sz val="12"/>
      <color rgb="FF000000"/>
      <name val="Calibri"/>
      <family val="2"/>
    </font>
    <font>
      <sz val="11"/>
      <color theme="1"/>
      <name val="Abadi"/>
    </font>
    <font>
      <b/>
      <sz val="11"/>
      <color rgb="FF000000"/>
      <name val="Calibri"/>
      <scheme val="minor"/>
    </font>
    <font>
      <sz val="11"/>
      <color rgb="FF000000"/>
      <name val="Calibri"/>
      <scheme val="minor"/>
    </font>
    <font>
      <sz val="11"/>
      <color rgb="FF000000"/>
      <name val="Abadi"/>
      <charset val="1"/>
    </font>
    <font>
      <sz val="11"/>
      <color rgb="FF000000"/>
      <name val="Calibri"/>
    </font>
    <font>
      <sz val="11"/>
      <color rgb="FF000000"/>
      <name val="Abadi"/>
    </font>
    <font>
      <i/>
      <sz val="11"/>
      <color rgb="FF000000"/>
      <name val="Abadi"/>
    </font>
    <font>
      <u/>
      <sz val="11"/>
      <color rgb="FF000000"/>
      <name val="Abadi"/>
    </font>
    <font>
      <sz val="11"/>
      <color rgb="FF000000"/>
      <name val="Abadi"/>
      <family val="2"/>
    </font>
    <font>
      <b/>
      <i/>
      <sz val="11"/>
      <name val="Calibri"/>
      <family val="2"/>
    </font>
    <font>
      <i/>
      <sz val="11"/>
      <name val="Calibri"/>
      <family val="2"/>
    </font>
    <font>
      <i/>
      <sz val="11"/>
      <color rgb="FF0000FF"/>
      <name val="Calibri"/>
      <family val="2"/>
    </font>
    <font>
      <i/>
      <u/>
      <sz val="11"/>
      <name val="Calibri"/>
      <family val="2"/>
    </font>
    <font>
      <b/>
      <sz val="11"/>
      <color rgb="FF009999"/>
      <name val="Calibri"/>
      <family val="2"/>
    </font>
    <font>
      <b/>
      <sz val="11"/>
      <color rgb="FF0070C0"/>
      <name val="Calibri"/>
      <family val="2"/>
    </font>
    <font>
      <b/>
      <u/>
      <sz val="11"/>
      <name val="Calibri"/>
    </font>
    <font>
      <sz val="11"/>
      <color rgb="FF0070C0"/>
      <name val="Calibri"/>
      <family val="2"/>
    </font>
    <font>
      <b/>
      <sz val="11"/>
      <color rgb="FF808080"/>
      <name val="Calibri"/>
      <family val="2"/>
    </font>
    <font>
      <b/>
      <sz val="11"/>
      <name val="Calibri"/>
      <family val="2"/>
    </font>
    <font>
      <sz val="11"/>
      <color rgb="FF0000FF"/>
      <name val="Calibri"/>
      <family val="2"/>
    </font>
    <font>
      <u/>
      <sz val="11"/>
      <name val="Calibri"/>
      <family val="2"/>
    </font>
    <font>
      <b/>
      <u/>
      <sz val="11"/>
      <color rgb="FF808080"/>
      <name val="Calibri"/>
      <family val="2"/>
    </font>
    <font>
      <b/>
      <sz val="11"/>
      <color rgb="FF000000"/>
      <name val="Abadi"/>
    </font>
    <font>
      <sz val="10"/>
      <color rgb="FF000000"/>
      <name val="Arial"/>
    </font>
    <font>
      <sz val="10"/>
      <color rgb="FF002060"/>
      <name val="Arial"/>
    </font>
    <font>
      <sz val="10"/>
      <color theme="1"/>
      <name val="Arial"/>
    </font>
    <font>
      <b/>
      <sz val="10"/>
      <color rgb="FF002060"/>
      <name val="Arial"/>
    </font>
    <font>
      <sz val="11"/>
      <color rgb="FF003300"/>
      <name val="Abadi"/>
    </font>
    <font>
      <b/>
      <sz val="11"/>
      <color theme="1"/>
      <name val="Abadi"/>
    </font>
    <font>
      <sz val="10"/>
      <name val="Arial"/>
    </font>
    <font>
      <sz val="11"/>
      <name val="Abadi"/>
    </font>
    <font>
      <b/>
      <u/>
      <sz val="11"/>
      <color rgb="FF000000"/>
      <name val="Abadi"/>
      <family val="2"/>
    </font>
    <font>
      <b/>
      <u/>
      <sz val="10"/>
      <color rgb="FF000000"/>
      <name val="Arial"/>
    </font>
    <font>
      <u/>
      <sz val="10"/>
      <color rgb="FF000000"/>
      <name val="Arial"/>
    </font>
    <font>
      <b/>
      <sz val="10"/>
      <color rgb="FF000000"/>
      <name val="Arial"/>
    </font>
    <font>
      <b/>
      <i/>
      <sz val="10"/>
      <color rgb="FF000000"/>
      <name val="Arial"/>
    </font>
    <font>
      <sz val="11"/>
      <name val="Arial"/>
      <family val="2"/>
    </font>
    <font>
      <b/>
      <u/>
      <sz val="10"/>
      <color rgb="FF000000"/>
      <name val="Arial"/>
      <family val="2"/>
    </font>
    <font>
      <b/>
      <u/>
      <sz val="11"/>
      <name val="Calibri"/>
      <family val="2"/>
    </font>
  </fonts>
  <fills count="25">
    <fill>
      <patternFill patternType="none"/>
    </fill>
    <fill>
      <patternFill patternType="gray125"/>
    </fill>
    <fill>
      <patternFill patternType="solid">
        <fgColor theme="9" tint="0.59999389629810485"/>
        <bgColor indexed="31"/>
      </patternFill>
    </fill>
    <fill>
      <patternFill patternType="solid">
        <fgColor indexed="57"/>
        <bgColor indexed="21"/>
      </patternFill>
    </fill>
    <fill>
      <patternFill patternType="solid">
        <fgColor indexed="13"/>
        <bgColor indexed="34"/>
      </patternFill>
    </fill>
    <fill>
      <patternFill patternType="solid">
        <fgColor indexed="52"/>
        <bgColor indexed="51"/>
      </patternFill>
    </fill>
    <fill>
      <patternFill patternType="solid">
        <fgColor indexed="10"/>
        <bgColor indexed="16"/>
      </patternFill>
    </fill>
    <fill>
      <patternFill patternType="solid">
        <fgColor indexed="53"/>
        <bgColor indexed="52"/>
      </patternFill>
    </fill>
    <fill>
      <patternFill patternType="solid">
        <fgColor theme="6" tint="0.79998168889431442"/>
        <bgColor indexed="64"/>
      </patternFill>
    </fill>
    <fill>
      <patternFill patternType="solid">
        <fgColor theme="0"/>
        <bgColor theme="0"/>
      </patternFill>
    </fill>
    <fill>
      <patternFill patternType="solid">
        <fgColor theme="0"/>
        <bgColor indexed="64"/>
      </patternFill>
    </fill>
    <fill>
      <patternFill patternType="solid">
        <fgColor theme="9" tint="0.59999389629810485"/>
        <bgColor indexed="64"/>
      </patternFill>
    </fill>
    <fill>
      <patternFill patternType="solid">
        <fgColor theme="0"/>
        <bgColor indexed="31"/>
      </patternFill>
    </fill>
    <fill>
      <patternFill patternType="solid">
        <fgColor rgb="FF3366CC"/>
        <bgColor indexed="64"/>
      </patternFill>
    </fill>
    <fill>
      <patternFill patternType="solid">
        <fgColor rgb="FFE2ECFD"/>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0070C0"/>
        <bgColor indexed="64"/>
      </patternFill>
    </fill>
    <fill>
      <patternFill patternType="solid">
        <fgColor rgb="FF92D050"/>
        <bgColor indexed="64"/>
      </patternFill>
    </fill>
    <fill>
      <patternFill patternType="solid">
        <fgColor rgb="FFFFFFFF"/>
        <bgColor rgb="FF000000"/>
      </patternFill>
    </fill>
  </fills>
  <borders count="94">
    <border>
      <left/>
      <right/>
      <top/>
      <bottom/>
      <diagonal/>
    </border>
    <border>
      <left style="thin">
        <color indexed="9"/>
      </left>
      <right style="thin">
        <color indexed="9"/>
      </right>
      <top/>
      <bottom style="thin">
        <color indexed="9"/>
      </bottom>
      <diagonal/>
    </border>
    <border>
      <left style="thin">
        <color indexed="9"/>
      </left>
      <right style="thin">
        <color indexed="9"/>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theme="0" tint="-0.499984740745262"/>
      </left>
      <right/>
      <top style="thick">
        <color theme="0" tint="-0.499984740745262"/>
      </top>
      <bottom/>
      <diagonal/>
    </border>
    <border>
      <left/>
      <right/>
      <top style="thick">
        <color theme="0" tint="-0.499984740745262"/>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ck">
        <color theme="0" tint="-0.499984740745262"/>
      </left>
      <right/>
      <top/>
      <bottom/>
      <diagonal/>
    </border>
    <border>
      <left style="thick">
        <color theme="0" tint="-0.499984740745262"/>
      </left>
      <right/>
      <top/>
      <bottom style="thin">
        <color theme="0" tint="-0.499984740745262"/>
      </bottom>
      <diagonal/>
    </border>
    <border>
      <left/>
      <right/>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rgb="FFDEE2E6"/>
      </top>
      <bottom/>
      <diagonal/>
    </border>
    <border>
      <left style="thick">
        <color theme="0" tint="-0.499984740745262"/>
      </left>
      <right/>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auto="1"/>
      </right>
      <top style="medium">
        <color indexed="64"/>
      </top>
      <bottom/>
      <diagonal/>
    </border>
    <border>
      <left style="thin">
        <color indexed="64"/>
      </left>
      <right/>
      <top style="medium">
        <color indexed="64"/>
      </top>
      <bottom style="thin">
        <color indexed="64"/>
      </bottom>
      <diagonal/>
    </border>
    <border>
      <left style="thin">
        <color auto="1"/>
      </left>
      <right style="medium">
        <color indexed="64"/>
      </right>
      <top style="medium">
        <color indexed="64"/>
      </top>
      <bottom/>
      <diagonal/>
    </border>
    <border>
      <left style="thin">
        <color auto="1"/>
      </left>
      <right style="medium">
        <color indexed="64"/>
      </right>
      <top/>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diagonal/>
    </border>
    <border>
      <left style="thin">
        <color indexed="64"/>
      </left>
      <right style="thin">
        <color auto="1"/>
      </right>
      <top style="medium">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auto="1"/>
      </right>
      <top style="thin">
        <color auto="1"/>
      </top>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9"/>
      </left>
      <right/>
      <top style="thin">
        <color indexed="9"/>
      </top>
      <bottom style="thin">
        <color indexed="9"/>
      </bottom>
      <diagonal/>
    </border>
    <border>
      <left style="thin">
        <color indexed="8"/>
      </left>
      <right style="thin">
        <color indexed="8"/>
      </right>
      <top style="thin">
        <color indexed="8"/>
      </top>
      <bottom style="thin">
        <color indexed="8"/>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style="thin">
        <color indexed="64"/>
      </right>
      <top/>
      <bottom style="medium">
        <color rgb="FF000000"/>
      </bottom>
      <diagonal/>
    </border>
    <border>
      <left style="thin">
        <color auto="1"/>
      </left>
      <right style="thin">
        <color auto="1"/>
      </right>
      <top style="medium">
        <color rgb="FF000000"/>
      </top>
      <bottom/>
      <diagonal/>
    </border>
    <border>
      <left style="thin">
        <color indexed="64"/>
      </left>
      <right/>
      <top style="thin">
        <color indexed="64"/>
      </top>
      <bottom style="thin">
        <color indexed="64"/>
      </bottom>
      <diagonal/>
    </border>
    <border>
      <left/>
      <right style="thin">
        <color auto="1"/>
      </right>
      <top style="medium">
        <color indexed="64"/>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auto="1"/>
      </left>
      <right style="medium">
        <color rgb="FF000000"/>
      </right>
      <top style="medium">
        <color rgb="FF000000"/>
      </top>
      <bottom/>
      <diagonal/>
    </border>
    <border>
      <left style="medium">
        <color rgb="FF000000"/>
      </left>
      <right style="thin">
        <color auto="1"/>
      </right>
      <top style="thin">
        <color auto="1"/>
      </top>
      <bottom style="thin">
        <color auto="1"/>
      </bottom>
      <diagonal/>
    </border>
    <border>
      <left style="thin">
        <color auto="1"/>
      </left>
      <right style="medium">
        <color rgb="FF000000"/>
      </right>
      <top/>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bottom style="medium">
        <color rgb="FF000000"/>
      </bottom>
      <diagonal/>
    </border>
    <border>
      <left style="thin">
        <color rgb="FF000000"/>
      </left>
      <right style="thin">
        <color rgb="FF000000"/>
      </right>
      <top style="thin">
        <color rgb="FF000000"/>
      </top>
      <bottom/>
      <diagonal/>
    </border>
  </borders>
  <cellStyleXfs count="8">
    <xf numFmtId="0" fontId="0" fillId="0" borderId="0"/>
    <xf numFmtId="0" fontId="1" fillId="0" borderId="0"/>
    <xf numFmtId="0" fontId="1" fillId="0" borderId="0"/>
    <xf numFmtId="0" fontId="3" fillId="0" borderId="0"/>
    <xf numFmtId="0" fontId="11" fillId="0" borderId="0"/>
    <xf numFmtId="9" fontId="27" fillId="0" borderId="0" applyFont="0" applyFill="0" applyBorder="0" applyAlignment="0" applyProtection="0"/>
    <xf numFmtId="0" fontId="1" fillId="0" borderId="0"/>
    <xf numFmtId="0" fontId="64" fillId="0" borderId="0" applyNumberFormat="0" applyFill="0" applyBorder="0" applyAlignment="0" applyProtection="0"/>
  </cellStyleXfs>
  <cellXfs count="1010">
    <xf numFmtId="0" fontId="0" fillId="0" borderId="0" xfId="0"/>
    <xf numFmtId="0" fontId="3" fillId="0" borderId="0" xfId="3"/>
    <xf numFmtId="0" fontId="5" fillId="0" borderId="0" xfId="3" applyFont="1"/>
    <xf numFmtId="0" fontId="7" fillId="0" borderId="0" xfId="3" applyFont="1"/>
    <xf numFmtId="0" fontId="3" fillId="0" borderId="1" xfId="3" applyBorder="1" applyAlignment="1">
      <alignment horizontal="center" vertical="center"/>
    </xf>
    <xf numFmtId="0" fontId="3" fillId="0" borderId="2" xfId="3" applyBorder="1" applyAlignment="1">
      <alignment horizontal="center" vertical="center"/>
    </xf>
    <xf numFmtId="0" fontId="3" fillId="0" borderId="2" xfId="3" applyBorder="1"/>
    <xf numFmtId="0" fontId="3" fillId="0" borderId="1" xfId="3" applyBorder="1"/>
    <xf numFmtId="0" fontId="8" fillId="0" borderId="0" xfId="3" applyFont="1"/>
    <xf numFmtId="0" fontId="3" fillId="0" borderId="0" xfId="3" applyAlignment="1">
      <alignment horizontal="center" vertical="center"/>
    </xf>
    <xf numFmtId="0" fontId="2" fillId="0" borderId="0" xfId="0" applyFont="1"/>
    <xf numFmtId="0" fontId="3" fillId="0" borderId="0" xfId="3" applyAlignment="1">
      <alignment vertical="center"/>
    </xf>
    <xf numFmtId="0" fontId="6" fillId="0" borderId="0" xfId="3" applyFont="1" applyAlignment="1">
      <alignment horizontal="center" vertical="center" wrapText="1"/>
    </xf>
    <xf numFmtId="0" fontId="4" fillId="12" borderId="0" xfId="3" applyFont="1" applyFill="1" applyAlignment="1">
      <alignment horizontal="center" vertical="center"/>
    </xf>
    <xf numFmtId="0" fontId="10" fillId="15" borderId="0" xfId="0" applyFont="1" applyFill="1" applyAlignment="1">
      <alignment vertical="center" wrapText="1"/>
    </xf>
    <xf numFmtId="0" fontId="1" fillId="0" borderId="0" xfId="0" applyFont="1"/>
    <xf numFmtId="0" fontId="1"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wrapText="1"/>
    </xf>
    <xf numFmtId="0" fontId="13" fillId="10" borderId="7" xfId="0" applyFont="1" applyFill="1" applyBorder="1" applyAlignment="1">
      <alignment horizontal="center" vertical="center" wrapText="1"/>
    </xf>
    <xf numFmtId="0" fontId="15" fillId="15" borderId="0" xfId="0" applyFont="1" applyFill="1" applyAlignment="1">
      <alignment vertical="center" wrapText="1"/>
    </xf>
    <xf numFmtId="0" fontId="0" fillId="0" borderId="0" xfId="0" applyAlignment="1">
      <alignment wrapText="1"/>
    </xf>
    <xf numFmtId="0" fontId="0" fillId="0" borderId="0" xfId="0" applyAlignment="1">
      <alignment horizontal="center" wrapText="1"/>
    </xf>
    <xf numFmtId="0" fontId="19" fillId="0" borderId="0" xfId="0" applyFont="1"/>
    <xf numFmtId="0" fontId="19" fillId="0" borderId="0" xfId="0" applyFont="1" applyAlignment="1">
      <alignment wrapText="1"/>
    </xf>
    <xf numFmtId="0" fontId="0" fillId="18" borderId="0" xfId="0" applyFill="1"/>
    <xf numFmtId="0" fontId="28" fillId="19" borderId="0" xfId="0" applyFont="1" applyFill="1"/>
    <xf numFmtId="0" fontId="0" fillId="14" borderId="0" xfId="0" applyFill="1"/>
    <xf numFmtId="0" fontId="10" fillId="0" borderId="7" xfId="0" applyFont="1" applyBorder="1" applyAlignment="1" applyProtection="1">
      <alignment vertical="center" wrapText="1"/>
      <protection locked="0"/>
    </xf>
    <xf numFmtId="0" fontId="18" fillId="9" borderId="7" xfId="0" applyFont="1" applyFill="1" applyBorder="1" applyAlignment="1" applyProtection="1">
      <alignment vertical="center" wrapText="1"/>
      <protection locked="0"/>
    </xf>
    <xf numFmtId="0" fontId="1" fillId="9" borderId="7" xfId="0" applyFont="1" applyFill="1" applyBorder="1" applyAlignment="1" applyProtection="1">
      <alignment vertical="center" wrapText="1"/>
      <protection locked="0"/>
    </xf>
    <xf numFmtId="0" fontId="0" fillId="0" borderId="0" xfId="0" applyAlignment="1">
      <alignment vertical="center"/>
    </xf>
    <xf numFmtId="0" fontId="2" fillId="0" borderId="0" xfId="0" applyFont="1" applyAlignment="1">
      <alignment vertical="center"/>
    </xf>
    <xf numFmtId="0" fontId="29" fillId="0" borderId="0" xfId="0" applyFont="1"/>
    <xf numFmtId="1" fontId="0" fillId="0" borderId="0" xfId="0" applyNumberFormat="1"/>
    <xf numFmtId="0" fontId="0" fillId="0" borderId="0" xfId="5" applyNumberFormat="1" applyFont="1"/>
    <xf numFmtId="0" fontId="33" fillId="21" borderId="6" xfId="0" applyFont="1" applyFill="1" applyBorder="1" applyAlignment="1" applyProtection="1">
      <alignment horizontal="center"/>
      <protection hidden="1"/>
    </xf>
    <xf numFmtId="0" fontId="34" fillId="0" borderId="33" xfId="0" applyFont="1" applyBorder="1" applyAlignment="1" applyProtection="1">
      <alignment horizontal="center" vertical="center"/>
      <protection hidden="1"/>
    </xf>
    <xf numFmtId="0" fontId="34" fillId="0" borderId="0" xfId="0" applyFont="1" applyAlignment="1" applyProtection="1">
      <alignment horizontal="center" vertical="center"/>
      <protection hidden="1"/>
    </xf>
    <xf numFmtId="0" fontId="34" fillId="0" borderId="7" xfId="0" applyFont="1" applyBorder="1" applyAlignment="1" applyProtection="1">
      <alignment horizontal="center" vertical="center" wrapText="1"/>
      <protection hidden="1"/>
    </xf>
    <xf numFmtId="0" fontId="34" fillId="0" borderId="34" xfId="0" applyFont="1" applyBorder="1" applyAlignment="1" applyProtection="1">
      <alignment horizontal="center" vertical="center" wrapText="1"/>
      <protection hidden="1"/>
    </xf>
    <xf numFmtId="0" fontId="34" fillId="0" borderId="6" xfId="0" applyFont="1" applyBorder="1" applyAlignment="1" applyProtection="1">
      <alignment horizontal="center" vertical="center" wrapText="1"/>
      <protection hidden="1"/>
    </xf>
    <xf numFmtId="0" fontId="19" fillId="23" borderId="0" xfId="0" applyFont="1" applyFill="1" applyAlignment="1">
      <alignment wrapText="1"/>
    </xf>
    <xf numFmtId="0" fontId="1" fillId="9" borderId="7" xfId="0" applyFont="1" applyFill="1" applyBorder="1" applyAlignment="1" applyProtection="1">
      <alignment horizontal="justify" vertical="center" wrapText="1"/>
      <protection locked="0"/>
    </xf>
    <xf numFmtId="0" fontId="1" fillId="0" borderId="7" xfId="0" applyFont="1" applyBorder="1" applyAlignment="1" applyProtection="1">
      <alignment horizontal="center" vertical="center" wrapText="1"/>
      <protection locked="0"/>
    </xf>
    <xf numFmtId="0" fontId="1" fillId="0" borderId="0" xfId="0" applyFont="1" applyAlignment="1">
      <alignment vertical="center"/>
    </xf>
    <xf numFmtId="0" fontId="42" fillId="0" borderId="0" xfId="0" applyFont="1"/>
    <xf numFmtId="0" fontId="42" fillId="19" borderId="0" xfId="0" applyFont="1" applyFill="1"/>
    <xf numFmtId="0" fontId="42" fillId="23" borderId="0" xfId="0" applyFont="1" applyFill="1"/>
    <xf numFmtId="0" fontId="42" fillId="16" borderId="0" xfId="0" applyFont="1" applyFill="1"/>
    <xf numFmtId="0" fontId="43" fillId="15" borderId="0" xfId="0" applyFont="1" applyFill="1"/>
    <xf numFmtId="0" fontId="12" fillId="13" borderId="3" xfId="0" applyFont="1" applyFill="1" applyBorder="1" applyAlignment="1">
      <alignment horizontal="center" vertical="center"/>
    </xf>
    <xf numFmtId="0" fontId="13" fillId="8" borderId="7" xfId="0" applyFont="1" applyFill="1" applyBorder="1" applyAlignment="1">
      <alignment horizontal="center" vertical="center" wrapText="1"/>
    </xf>
    <xf numFmtId="0" fontId="1" fillId="0" borderId="7" xfId="0" applyFont="1" applyBorder="1" applyAlignment="1">
      <alignment horizontal="center" vertical="center" wrapText="1"/>
    </xf>
    <xf numFmtId="0" fontId="14" fillId="0" borderId="7" xfId="0" applyFont="1" applyBorder="1" applyAlignment="1" applyProtection="1">
      <alignment horizontal="justify" vertical="center" wrapText="1"/>
      <protection locked="0"/>
    </xf>
    <xf numFmtId="0" fontId="1" fillId="0" borderId="7" xfId="0" applyFont="1" applyBorder="1" applyAlignment="1" applyProtection="1">
      <alignment vertical="center" wrapText="1"/>
      <protection locked="0"/>
    </xf>
    <xf numFmtId="0" fontId="0" fillId="0" borderId="7" xfId="0" applyBorder="1" applyProtection="1">
      <protection locked="0"/>
    </xf>
    <xf numFmtId="0" fontId="0" fillId="0" borderId="7" xfId="0" applyBorder="1"/>
    <xf numFmtId="0" fontId="13" fillId="8" borderId="7" xfId="0" applyFont="1" applyFill="1" applyBorder="1" applyAlignment="1">
      <alignment vertical="center" wrapText="1"/>
    </xf>
    <xf numFmtId="0" fontId="13" fillId="14" borderId="35" xfId="0" applyFont="1" applyFill="1" applyBorder="1" applyAlignment="1">
      <alignment horizontal="center" vertical="center" wrapText="1"/>
    </xf>
    <xf numFmtId="0" fontId="13" fillId="14" borderId="31" xfId="0" applyFont="1" applyFill="1" applyBorder="1" applyAlignment="1">
      <alignment horizontal="center" vertical="center" wrapText="1"/>
    </xf>
    <xf numFmtId="0" fontId="13" fillId="14" borderId="31" xfId="0" applyFont="1" applyFill="1" applyBorder="1" applyAlignment="1" applyProtection="1">
      <alignment horizontal="center" vertical="center" textRotation="90" wrapText="1"/>
      <protection locked="0" hidden="1"/>
    </xf>
    <xf numFmtId="0" fontId="13" fillId="14" borderId="36" xfId="0" applyFont="1" applyFill="1" applyBorder="1" applyAlignment="1">
      <alignment horizontal="center" vertical="center" wrapText="1"/>
    </xf>
    <xf numFmtId="0" fontId="0" fillId="10" borderId="0" xfId="0" applyFill="1"/>
    <xf numFmtId="0" fontId="2" fillId="10" borderId="4" xfId="0" applyFont="1" applyFill="1" applyBorder="1"/>
    <xf numFmtId="0" fontId="2" fillId="10" borderId="3" xfId="0" applyFont="1" applyFill="1" applyBorder="1"/>
    <xf numFmtId="0" fontId="2" fillId="10" borderId="5" xfId="0" applyFont="1" applyFill="1" applyBorder="1"/>
    <xf numFmtId="0" fontId="0" fillId="10" borderId="6" xfId="0" applyFill="1" applyBorder="1"/>
    <xf numFmtId="0" fontId="0" fillId="10" borderId="0" xfId="0" applyFill="1" applyAlignment="1">
      <alignment wrapText="1"/>
    </xf>
    <xf numFmtId="0" fontId="1" fillId="10" borderId="3" xfId="0" applyFont="1" applyFill="1" applyBorder="1" applyAlignment="1" applyProtection="1">
      <alignment vertical="center" wrapText="1"/>
      <protection locked="0"/>
    </xf>
    <xf numFmtId="0" fontId="26" fillId="0" borderId="0" xfId="0" applyFont="1" applyAlignment="1">
      <alignment horizontal="center" vertical="center" wrapText="1"/>
    </xf>
    <xf numFmtId="0" fontId="13" fillId="0" borderId="7" xfId="0" applyFont="1" applyBorder="1" applyAlignment="1">
      <alignment horizontal="center" vertical="center" wrapText="1"/>
    </xf>
    <xf numFmtId="0" fontId="39" fillId="0" borderId="7" xfId="0" applyFont="1" applyBorder="1" applyAlignment="1" applyProtection="1">
      <alignment vertical="center" wrapText="1"/>
      <protection locked="0"/>
    </xf>
    <xf numFmtId="0" fontId="40" fillId="0" borderId="7" xfId="0" applyFont="1" applyBorder="1" applyAlignment="1" applyProtection="1">
      <alignment horizontal="justify" vertical="center"/>
      <protection locked="0"/>
    </xf>
    <xf numFmtId="0" fontId="41" fillId="0" borderId="7" xfId="0" applyFont="1" applyBorder="1" applyAlignment="1" applyProtection="1">
      <alignment vertical="center" wrapText="1"/>
      <protection locked="0"/>
    </xf>
    <xf numFmtId="0" fontId="13" fillId="0" borderId="7" xfId="0" applyFont="1" applyBorder="1" applyAlignment="1" applyProtection="1">
      <alignment horizontal="center" vertical="center" wrapText="1"/>
      <protection locked="0"/>
    </xf>
    <xf numFmtId="0" fontId="0" fillId="0" borderId="7" xfId="0" applyBorder="1" applyAlignment="1">
      <alignment vertical="center" wrapText="1"/>
    </xf>
    <xf numFmtId="14" fontId="0" fillId="0" borderId="7" xfId="0" applyNumberFormat="1" applyBorder="1" applyAlignment="1">
      <alignment vertical="center" wrapText="1"/>
    </xf>
    <xf numFmtId="14" fontId="0" fillId="0" borderId="7" xfId="0" applyNumberFormat="1" applyBorder="1" applyAlignment="1">
      <alignment vertical="center"/>
    </xf>
    <xf numFmtId="0" fontId="18" fillId="0" borderId="7" xfId="0" applyFont="1" applyBorder="1" applyAlignment="1" applyProtection="1">
      <alignment vertical="center" wrapText="1"/>
      <protection locked="0"/>
    </xf>
    <xf numFmtId="0" fontId="14" fillId="0" borderId="7" xfId="0" applyFont="1" applyBorder="1" applyAlignment="1" applyProtection="1">
      <alignment vertical="center" wrapText="1"/>
      <protection locked="0"/>
    </xf>
    <xf numFmtId="0" fontId="13" fillId="0" borderId="7" xfId="0" applyFont="1" applyBorder="1" applyAlignment="1">
      <alignment vertical="center" wrapText="1"/>
    </xf>
    <xf numFmtId="0" fontId="13" fillId="0" borderId="7" xfId="0" applyFont="1" applyBorder="1" applyAlignment="1" applyProtection="1">
      <alignment vertical="center" wrapText="1"/>
      <protection locked="0"/>
    </xf>
    <xf numFmtId="0" fontId="1"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39" fillId="0" borderId="7"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0" fillId="0" borderId="7" xfId="0" applyBorder="1" applyAlignment="1">
      <alignment horizontal="center" vertical="center" wrapText="1"/>
    </xf>
    <xf numFmtId="0" fontId="48" fillId="18" borderId="28" xfId="0" applyFont="1" applyFill="1" applyBorder="1" applyAlignment="1">
      <alignment horizontal="justify" vertical="top" wrapText="1"/>
    </xf>
    <xf numFmtId="0" fontId="49" fillId="0" borderId="0" xfId="0" applyFont="1" applyAlignment="1">
      <alignment horizontal="justify" vertical="top" wrapText="1"/>
    </xf>
    <xf numFmtId="0" fontId="39" fillId="0" borderId="7" xfId="0" applyFont="1" applyBorder="1" applyAlignment="1" applyProtection="1">
      <alignment horizontal="justify" vertical="top" wrapText="1"/>
      <protection locked="0"/>
    </xf>
    <xf numFmtId="0" fontId="39" fillId="0" borderId="3" xfId="0" applyFont="1" applyBorder="1" applyAlignment="1" applyProtection="1">
      <alignment horizontal="center" vertical="center" wrapText="1"/>
      <protection locked="0"/>
    </xf>
    <xf numFmtId="0" fontId="39" fillId="0" borderId="3" xfId="0" applyFont="1" applyBorder="1" applyAlignment="1" applyProtection="1">
      <alignment horizontal="justify" vertical="top"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wrapText="1"/>
      <protection locked="0"/>
    </xf>
    <xf numFmtId="0" fontId="40" fillId="0" borderId="3" xfId="0" applyFont="1" applyBorder="1" applyAlignment="1" applyProtection="1">
      <alignment horizontal="justify" vertical="top" wrapText="1"/>
      <protection locked="0"/>
    </xf>
    <xf numFmtId="0" fontId="13" fillId="0" borderId="3" xfId="0" applyFont="1" applyBorder="1" applyAlignment="1">
      <alignment horizontal="center" vertical="center" wrapText="1"/>
    </xf>
    <xf numFmtId="0" fontId="0" fillId="0" borderId="3" xfId="0" applyBorder="1" applyAlignment="1">
      <alignment vertical="center" wrapText="1"/>
    </xf>
    <xf numFmtId="14" fontId="0" fillId="0" borderId="3" xfId="0" applyNumberFormat="1" applyBorder="1" applyAlignment="1">
      <alignment vertical="center" wrapText="1"/>
    </xf>
    <xf numFmtId="14" fontId="0" fillId="0" borderId="3" xfId="0" applyNumberFormat="1" applyBorder="1" applyAlignment="1">
      <alignment vertical="center"/>
    </xf>
    <xf numFmtId="0" fontId="39" fillId="0" borderId="41" xfId="0" applyFont="1" applyBorder="1" applyAlignment="1" applyProtection="1">
      <alignment horizontal="center" vertical="center" wrapText="1"/>
      <protection locked="0"/>
    </xf>
    <xf numFmtId="0" fontId="14" fillId="0" borderId="41" xfId="0" applyFont="1" applyBorder="1" applyAlignment="1" applyProtection="1">
      <alignment horizontal="justify" vertical="top" wrapText="1"/>
      <protection locked="0"/>
    </xf>
    <xf numFmtId="0" fontId="1" fillId="0" borderId="41" xfId="0" applyFont="1" applyBorder="1" applyAlignment="1" applyProtection="1">
      <alignment horizontal="center" vertical="center" wrapText="1"/>
      <protection locked="0"/>
    </xf>
    <xf numFmtId="0" fontId="13" fillId="0" borderId="41" xfId="0" applyFont="1" applyBorder="1" applyAlignment="1">
      <alignment horizontal="center" vertical="center" wrapText="1"/>
    </xf>
    <xf numFmtId="0" fontId="13" fillId="0" borderId="41" xfId="0" applyFont="1" applyBorder="1" applyAlignment="1" applyProtection="1">
      <alignment horizontal="center" vertical="center" wrapText="1"/>
      <protection locked="0"/>
    </xf>
    <xf numFmtId="0" fontId="40" fillId="0" borderId="3" xfId="0" applyFont="1" applyBorder="1" applyAlignment="1" applyProtection="1">
      <alignment horizontal="justify" vertical="center"/>
      <protection locked="0"/>
    </xf>
    <xf numFmtId="0" fontId="41" fillId="0" borderId="3"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14" borderId="37" xfId="0" applyFont="1" applyFill="1" applyBorder="1" applyAlignment="1">
      <alignment horizontal="center" vertical="center" wrapText="1"/>
    </xf>
    <xf numFmtId="0" fontId="13" fillId="14" borderId="43" xfId="0" applyFont="1" applyFill="1" applyBorder="1" applyAlignment="1">
      <alignment horizontal="center" vertical="center" wrapText="1"/>
    </xf>
    <xf numFmtId="0" fontId="13" fillId="14" borderId="37" xfId="0" applyFont="1" applyFill="1" applyBorder="1" applyAlignment="1">
      <alignment horizontal="center" vertical="center" textRotation="90" wrapText="1"/>
    </xf>
    <xf numFmtId="0" fontId="13" fillId="14" borderId="44" xfId="0" applyFont="1" applyFill="1" applyBorder="1" applyAlignment="1">
      <alignment horizontal="center" vertical="center" wrapText="1"/>
    </xf>
    <xf numFmtId="0" fontId="13" fillId="14" borderId="39" xfId="0" applyFont="1" applyFill="1" applyBorder="1" applyAlignment="1">
      <alignment horizontal="center" vertical="center" wrapText="1"/>
    </xf>
    <xf numFmtId="0" fontId="10" fillId="0" borderId="3" xfId="0" applyFont="1" applyBorder="1" applyAlignment="1" applyProtection="1">
      <alignment horizontal="justify" vertical="top" wrapText="1"/>
      <protection locked="0"/>
    </xf>
    <xf numFmtId="0" fontId="18" fillId="0" borderId="3" xfId="0" applyFont="1" applyBorder="1" applyAlignment="1" applyProtection="1">
      <alignment vertical="center" wrapText="1"/>
      <protection locked="0"/>
    </xf>
    <xf numFmtId="0" fontId="1" fillId="0" borderId="3" xfId="0" applyFont="1" applyBorder="1" applyAlignment="1" applyProtection="1">
      <alignment vertical="center" wrapText="1"/>
      <protection locked="0"/>
    </xf>
    <xf numFmtId="0" fontId="0" fillId="0" borderId="3" xfId="0" applyBorder="1" applyAlignment="1" applyProtection="1">
      <alignment horizontal="justify" vertical="top" wrapText="1"/>
      <protection locked="0"/>
    </xf>
    <xf numFmtId="0" fontId="14" fillId="0" borderId="3" xfId="0" applyFont="1" applyBorder="1" applyAlignment="1" applyProtection="1">
      <alignment vertical="center" wrapText="1"/>
      <protection locked="0"/>
    </xf>
    <xf numFmtId="0" fontId="13" fillId="0" borderId="3" xfId="0" applyFont="1" applyBorder="1" applyAlignment="1" applyProtection="1">
      <alignment vertical="center" wrapText="1"/>
      <protection locked="0"/>
    </xf>
    <xf numFmtId="0" fontId="13" fillId="0" borderId="3" xfId="0" applyFont="1" applyBorder="1" applyAlignment="1">
      <alignment vertical="center" wrapText="1"/>
    </xf>
    <xf numFmtId="0" fontId="0" fillId="0" borderId="3" xfId="0" applyBorder="1" applyAlignment="1">
      <alignment horizontal="justify" vertical="top" wrapText="1"/>
    </xf>
    <xf numFmtId="0" fontId="0" fillId="0" borderId="3" xfId="0" applyBorder="1" applyAlignment="1">
      <alignment horizontal="center" vertical="center" wrapText="1"/>
    </xf>
    <xf numFmtId="14" fontId="0" fillId="0" borderId="3" xfId="0" applyNumberFormat="1" applyBorder="1" applyAlignment="1">
      <alignment horizontal="center" vertical="center" wrapText="1"/>
    </xf>
    <xf numFmtId="14" fontId="0" fillId="0" borderId="3" xfId="0" applyNumberFormat="1" applyBorder="1" applyAlignment="1">
      <alignment horizontal="center" vertical="center"/>
    </xf>
    <xf numFmtId="0" fontId="18" fillId="0" borderId="41" xfId="0" applyFont="1" applyBorder="1" applyAlignment="1" applyProtection="1">
      <alignment vertical="center" wrapText="1"/>
      <protection locked="0"/>
    </xf>
    <xf numFmtId="0" fontId="14" fillId="0" borderId="41" xfId="0" applyFont="1" applyBorder="1" applyAlignment="1" applyProtection="1">
      <alignment vertical="center" wrapText="1"/>
      <protection locked="0"/>
    </xf>
    <xf numFmtId="0" fontId="1" fillId="0" borderId="41" xfId="0" applyFont="1" applyBorder="1" applyAlignment="1" applyProtection="1">
      <alignment vertical="center" wrapText="1"/>
      <protection locked="0"/>
    </xf>
    <xf numFmtId="0" fontId="0" fillId="0" borderId="37" xfId="0" applyBorder="1" applyAlignment="1">
      <alignment horizontal="center" vertical="center" wrapText="1"/>
    </xf>
    <xf numFmtId="0" fontId="39" fillId="0" borderId="3" xfId="0" applyFont="1" applyBorder="1" applyAlignment="1" applyProtection="1">
      <alignment vertical="center" wrapText="1"/>
      <protection locked="0"/>
    </xf>
    <xf numFmtId="0" fontId="39" fillId="0" borderId="3" xfId="0" applyFont="1" applyBorder="1" applyAlignment="1" applyProtection="1">
      <alignment wrapText="1"/>
      <protection locked="0"/>
    </xf>
    <xf numFmtId="0" fontId="41" fillId="0" borderId="3" xfId="0" applyFont="1" applyBorder="1" applyAlignment="1" applyProtection="1">
      <alignment vertical="center" wrapText="1"/>
      <protection locked="0"/>
    </xf>
    <xf numFmtId="0" fontId="13" fillId="0" borderId="11" xfId="0" applyFont="1" applyBorder="1" applyAlignment="1">
      <alignment vertical="center" wrapText="1"/>
    </xf>
    <xf numFmtId="0" fontId="13" fillId="0" borderId="41" xfId="0" applyFont="1" applyBorder="1" applyAlignment="1">
      <alignment vertical="center" wrapText="1"/>
    </xf>
    <xf numFmtId="0" fontId="18" fillId="0" borderId="7" xfId="0" applyFont="1" applyBorder="1" applyAlignment="1" applyProtection="1">
      <alignment horizontal="center" vertical="center" wrapText="1"/>
      <protection locked="0"/>
    </xf>
    <xf numFmtId="0" fontId="14" fillId="0" borderId="7" xfId="0" applyFont="1" applyBorder="1" applyAlignment="1" applyProtection="1">
      <alignment horizontal="justify" vertical="top" wrapText="1"/>
      <protection locked="0"/>
    </xf>
    <xf numFmtId="14" fontId="0" fillId="0" borderId="7" xfId="0" applyNumberFormat="1" applyBorder="1" applyAlignment="1">
      <alignment horizontal="center" vertical="center" wrapText="1"/>
    </xf>
    <xf numFmtId="14" fontId="0" fillId="0" borderId="7" xfId="0" applyNumberFormat="1" applyBorder="1" applyAlignment="1">
      <alignment horizontal="center" vertical="center"/>
    </xf>
    <xf numFmtId="0" fontId="0" fillId="0" borderId="7" xfId="0" applyBorder="1" applyAlignment="1">
      <alignment horizontal="justify" vertical="top" wrapText="1"/>
    </xf>
    <xf numFmtId="0" fontId="18" fillId="0" borderId="3" xfId="0" applyFont="1" applyBorder="1" applyAlignment="1" applyProtection="1">
      <alignment horizontal="center" vertical="center" wrapText="1"/>
      <protection locked="0"/>
    </xf>
    <xf numFmtId="0" fontId="14" fillId="0" borderId="3" xfId="0" applyFont="1" applyBorder="1" applyAlignment="1" applyProtection="1">
      <alignment horizontal="justify" vertical="top" wrapText="1"/>
      <protection locked="0"/>
    </xf>
    <xf numFmtId="0" fontId="13" fillId="0" borderId="41" xfId="0" applyFont="1" applyBorder="1" applyAlignment="1" applyProtection="1">
      <alignment vertical="center" wrapText="1"/>
      <protection locked="0"/>
    </xf>
    <xf numFmtId="0" fontId="39" fillId="0" borderId="3" xfId="0" applyFont="1" applyBorder="1" applyAlignment="1" applyProtection="1">
      <alignment horizontal="justify" vertical="center" wrapText="1"/>
      <protection locked="0"/>
    </xf>
    <xf numFmtId="14" fontId="0" fillId="0" borderId="7" xfId="0" applyNumberFormat="1" applyBorder="1" applyAlignment="1">
      <alignment horizontal="justify" vertical="top" wrapText="1"/>
    </xf>
    <xf numFmtId="0" fontId="0" fillId="0" borderId="7" xfId="0" applyBorder="1" applyAlignment="1">
      <alignment horizontal="justify" vertical="center" wrapText="1"/>
    </xf>
    <xf numFmtId="0" fontId="39" fillId="0" borderId="7" xfId="0" applyFont="1" applyBorder="1" applyAlignment="1" applyProtection="1">
      <alignment horizontal="justify" vertical="center" wrapText="1"/>
      <protection locked="0"/>
    </xf>
    <xf numFmtId="0" fontId="0" fillId="0" borderId="3" xfId="0" applyBorder="1" applyAlignment="1">
      <alignment horizontal="justify" vertical="center" wrapText="1"/>
    </xf>
    <xf numFmtId="0" fontId="40" fillId="0" borderId="41" xfId="0" applyFont="1" applyBorder="1" applyAlignment="1" applyProtection="1">
      <alignment horizontal="justify" vertical="center"/>
      <protection locked="0"/>
    </xf>
    <xf numFmtId="0" fontId="1" fillId="0" borderId="37" xfId="0" applyFont="1" applyBorder="1" applyAlignment="1" applyProtection="1">
      <alignment horizontal="justify" vertical="center" wrapText="1"/>
      <protection locked="0"/>
    </xf>
    <xf numFmtId="0" fontId="41" fillId="0" borderId="3" xfId="0" applyFont="1" applyBorder="1" applyAlignment="1" applyProtection="1">
      <alignment horizontal="center" vertical="top" wrapText="1"/>
      <protection locked="0"/>
    </xf>
    <xf numFmtId="0" fontId="1" fillId="0" borderId="47" xfId="0" applyFont="1" applyBorder="1" applyAlignment="1" applyProtection="1">
      <alignment vertical="center" wrapText="1"/>
      <protection locked="0"/>
    </xf>
    <xf numFmtId="0" fontId="10" fillId="0" borderId="3" xfId="0" applyFont="1" applyBorder="1" applyAlignment="1" applyProtection="1">
      <alignment horizontal="justify" vertical="center" wrapText="1"/>
      <protection locked="0"/>
    </xf>
    <xf numFmtId="0" fontId="1" fillId="0" borderId="3" xfId="0" applyFont="1" applyBorder="1" applyAlignment="1">
      <alignment horizontal="justify" vertical="center" wrapText="1"/>
    </xf>
    <xf numFmtId="0" fontId="10" fillId="0" borderId="3" xfId="0" applyFont="1" applyBorder="1" applyAlignment="1">
      <alignment horizontal="center" vertical="center" wrapText="1"/>
    </xf>
    <xf numFmtId="14" fontId="10" fillId="0" borderId="3" xfId="0" applyNumberFormat="1" applyFont="1" applyBorder="1" applyAlignment="1">
      <alignment vertical="center" wrapText="1"/>
    </xf>
    <xf numFmtId="14" fontId="10" fillId="0" borderId="3" xfId="0" applyNumberFormat="1" applyFont="1" applyBorder="1" applyAlignment="1">
      <alignment vertical="center"/>
    </xf>
    <xf numFmtId="0" fontId="13" fillId="0" borderId="11" xfId="0" applyFont="1" applyBorder="1" applyAlignment="1" applyProtection="1">
      <alignment vertical="center" wrapText="1"/>
      <protection locked="0"/>
    </xf>
    <xf numFmtId="0" fontId="1" fillId="0" borderId="3" xfId="0" applyFont="1" applyBorder="1" applyAlignment="1" applyProtection="1">
      <alignment horizontal="justify" vertical="top" wrapText="1"/>
      <protection locked="0"/>
    </xf>
    <xf numFmtId="0" fontId="10" fillId="0" borderId="3" xfId="0" applyFont="1" applyBorder="1" applyAlignment="1" applyProtection="1">
      <alignment vertical="center" wrapText="1"/>
      <protection locked="0"/>
    </xf>
    <xf numFmtId="0" fontId="0" fillId="0" borderId="3" xfId="0" applyBorder="1" applyAlignment="1" applyProtection="1">
      <alignment vertical="top" wrapText="1"/>
      <protection locked="0"/>
    </xf>
    <xf numFmtId="0" fontId="14" fillId="0" borderId="3" xfId="0" applyFont="1" applyBorder="1" applyAlignment="1" applyProtection="1">
      <alignment horizontal="justify" vertical="center" wrapText="1"/>
      <protection locked="0"/>
    </xf>
    <xf numFmtId="14" fontId="1" fillId="0" borderId="3" xfId="0" applyNumberFormat="1" applyFont="1" applyBorder="1" applyAlignment="1" applyProtection="1">
      <alignment horizontal="center" vertical="center" wrapText="1"/>
      <protection locked="0"/>
    </xf>
    <xf numFmtId="0" fontId="54" fillId="0" borderId="3" xfId="0" applyFont="1" applyBorder="1" applyAlignment="1" applyProtection="1">
      <alignment horizontal="justify" vertical="top" wrapText="1"/>
      <protection locked="0"/>
    </xf>
    <xf numFmtId="0" fontId="1" fillId="0" borderId="3" xfId="0" applyFont="1" applyBorder="1" applyAlignment="1" applyProtection="1">
      <alignment horizontal="justify" vertical="center" wrapText="1"/>
      <protection locked="0"/>
    </xf>
    <xf numFmtId="14" fontId="0" fillId="0" borderId="3" xfId="0" applyNumberFormat="1" applyBorder="1" applyAlignment="1">
      <alignment horizontal="justify" vertical="top" wrapText="1"/>
    </xf>
    <xf numFmtId="14" fontId="0" fillId="0" borderId="3" xfId="0" applyNumberFormat="1" applyBorder="1" applyAlignment="1">
      <alignment horizontal="justify" vertical="top"/>
    </xf>
    <xf numFmtId="0" fontId="0" fillId="0" borderId="37" xfId="0" applyBorder="1" applyAlignment="1">
      <alignment horizontal="justify" vertical="top" wrapText="1"/>
    </xf>
    <xf numFmtId="0" fontId="0" fillId="0" borderId="41" xfId="0" applyBorder="1" applyAlignment="1">
      <alignment horizontal="justify" vertical="top" wrapText="1"/>
    </xf>
    <xf numFmtId="0" fontId="0" fillId="0" borderId="37" xfId="0" applyBorder="1" applyAlignment="1">
      <alignment vertical="center" wrapText="1"/>
    </xf>
    <xf numFmtId="0" fontId="0" fillId="0" borderId="11" xfId="0" applyBorder="1" applyAlignment="1">
      <alignment vertical="center" wrapText="1"/>
    </xf>
    <xf numFmtId="0" fontId="0" fillId="0" borderId="41" xfId="0" applyBorder="1" applyAlignment="1">
      <alignment vertical="center" wrapText="1"/>
    </xf>
    <xf numFmtId="0" fontId="61" fillId="0" borderId="3" xfId="0" applyFont="1" applyBorder="1" applyAlignment="1" applyProtection="1">
      <alignment horizontal="justify" vertical="top" wrapText="1"/>
      <protection locked="0"/>
    </xf>
    <xf numFmtId="14" fontId="1" fillId="0" borderId="37" xfId="0" applyNumberFormat="1" applyFont="1" applyBorder="1" applyAlignment="1" applyProtection="1">
      <alignment horizontal="justify" vertical="center" wrapText="1"/>
      <protection locked="0"/>
    </xf>
    <xf numFmtId="0" fontId="0" fillId="0" borderId="11" xfId="0" applyBorder="1" applyAlignment="1">
      <alignment vertical="top" wrapText="1"/>
    </xf>
    <xf numFmtId="0" fontId="0" fillId="0" borderId="41" xfId="0" applyBorder="1" applyAlignment="1">
      <alignment vertical="top" wrapText="1"/>
    </xf>
    <xf numFmtId="0" fontId="64" fillId="0" borderId="0" xfId="7" applyAlignment="1">
      <alignment vertical="top" wrapText="1"/>
    </xf>
    <xf numFmtId="0" fontId="14" fillId="0" borderId="11" xfId="0" applyFont="1" applyBorder="1" applyAlignment="1" applyProtection="1">
      <alignment horizontal="justify" vertical="top" wrapText="1"/>
      <protection locked="0"/>
    </xf>
    <xf numFmtId="0" fontId="60" fillId="0" borderId="3" xfId="0" applyFont="1" applyBorder="1" applyAlignment="1">
      <alignment horizontal="justify" vertical="center" wrapText="1"/>
    </xf>
    <xf numFmtId="0" fontId="40" fillId="0" borderId="37" xfId="0" applyFont="1" applyBorder="1" applyAlignment="1" applyProtection="1">
      <alignment horizontal="justify" vertical="center"/>
      <protection locked="0"/>
    </xf>
    <xf numFmtId="0" fontId="14" fillId="0" borderId="41" xfId="0" applyFont="1" applyBorder="1" applyAlignment="1" applyProtection="1">
      <alignment horizontal="justify" vertical="center" wrapText="1"/>
      <protection locked="0"/>
    </xf>
    <xf numFmtId="0" fontId="41" fillId="0" borderId="3" xfId="0" applyFont="1" applyBorder="1" applyAlignment="1" applyProtection="1">
      <alignment horizontal="justify" vertical="center" wrapText="1"/>
      <protection locked="0"/>
    </xf>
    <xf numFmtId="0" fontId="39" fillId="0" borderId="41" xfId="0" applyFont="1" applyBorder="1" applyAlignment="1" applyProtection="1">
      <alignment horizontal="justify" vertical="top" wrapText="1"/>
      <protection locked="0"/>
    </xf>
    <xf numFmtId="0" fontId="41" fillId="0" borderId="3" xfId="0" applyFont="1" applyBorder="1" applyAlignment="1" applyProtection="1">
      <alignment horizontal="justify" vertical="top" wrapText="1"/>
      <protection locked="0"/>
    </xf>
    <xf numFmtId="0" fontId="1" fillId="0" borderId="0" xfId="0" applyFont="1" applyAlignment="1">
      <alignment horizontal="justify" vertical="top" wrapText="1"/>
    </xf>
    <xf numFmtId="0" fontId="13" fillId="0" borderId="0" xfId="0" applyFont="1" applyAlignment="1">
      <alignment horizontal="center" vertical="center"/>
    </xf>
    <xf numFmtId="0" fontId="13" fillId="0" borderId="0" xfId="0" applyFont="1" applyAlignment="1">
      <alignment vertical="center" wrapText="1"/>
    </xf>
    <xf numFmtId="14" fontId="10" fillId="0" borderId="3" xfId="0" applyNumberFormat="1" applyFont="1" applyBorder="1" applyAlignment="1">
      <alignment horizontal="center" vertical="center"/>
    </xf>
    <xf numFmtId="0" fontId="61" fillId="0" borderId="48" xfId="0" applyFont="1" applyBorder="1" applyAlignment="1">
      <alignment vertical="center" wrapText="1"/>
    </xf>
    <xf numFmtId="0" fontId="61" fillId="0" borderId="49" xfId="0" applyFont="1" applyBorder="1" applyAlignment="1">
      <alignment vertical="center" wrapText="1"/>
    </xf>
    <xf numFmtId="0" fontId="0" fillId="0" borderId="3" xfId="0" applyBorder="1" applyAlignment="1" applyProtection="1">
      <alignment horizontal="center" vertical="center" wrapText="1"/>
      <protection locked="0"/>
    </xf>
    <xf numFmtId="0" fontId="69" fillId="0" borderId="3" xfId="0" applyFont="1" applyBorder="1" applyAlignment="1" applyProtection="1">
      <alignment horizontal="center" vertical="center" wrapText="1"/>
      <protection locked="0"/>
    </xf>
    <xf numFmtId="0" fontId="10" fillId="0" borderId="37" xfId="0" applyFont="1" applyBorder="1" applyAlignment="1" applyProtection="1">
      <alignment horizontal="justify" vertical="top" wrapText="1"/>
      <protection locked="0"/>
    </xf>
    <xf numFmtId="0" fontId="10" fillId="0" borderId="38" xfId="0" applyFont="1" applyBorder="1" applyAlignment="1" applyProtection="1">
      <alignment horizontal="justify" vertical="top" wrapText="1"/>
      <protection locked="0"/>
    </xf>
    <xf numFmtId="0" fontId="10" fillId="0" borderId="31" xfId="0" applyFont="1" applyBorder="1" applyAlignment="1" applyProtection="1">
      <alignment horizontal="justify" vertical="top" wrapText="1"/>
      <protection locked="0"/>
    </xf>
    <xf numFmtId="14" fontId="0" fillId="0" borderId="7" xfId="0" applyNumberFormat="1" applyBorder="1" applyAlignment="1">
      <alignment horizontal="center" vertical="top" wrapText="1"/>
    </xf>
    <xf numFmtId="0" fontId="0" fillId="0" borderId="3" xfId="0" applyBorder="1" applyAlignment="1">
      <alignment horizontal="center" vertical="top" wrapText="1"/>
    </xf>
    <xf numFmtId="14" fontId="0" fillId="0" borderId="3" xfId="0" applyNumberFormat="1" applyBorder="1" applyAlignment="1">
      <alignment horizontal="center" vertical="top" wrapText="1"/>
    </xf>
    <xf numFmtId="14" fontId="0" fillId="0" borderId="11" xfId="0" applyNumberFormat="1" applyBorder="1" applyAlignment="1">
      <alignment vertical="center" wrapText="1"/>
    </xf>
    <xf numFmtId="14" fontId="0" fillId="0" borderId="11" xfId="0" applyNumberFormat="1" applyBorder="1" applyAlignment="1">
      <alignment vertical="center"/>
    </xf>
    <xf numFmtId="14" fontId="0" fillId="0" borderId="37" xfId="0" applyNumberFormat="1" applyBorder="1" applyAlignment="1">
      <alignment horizontal="center" vertical="center" wrapText="1"/>
    </xf>
    <xf numFmtId="14" fontId="0" fillId="0" borderId="37" xfId="0" applyNumberFormat="1" applyBorder="1" applyAlignment="1">
      <alignment horizontal="center" vertical="center"/>
    </xf>
    <xf numFmtId="0" fontId="70" fillId="0" borderId="7" xfId="0" applyFont="1" applyBorder="1" applyAlignment="1">
      <alignment vertical="center"/>
    </xf>
    <xf numFmtId="14" fontId="70" fillId="0" borderId="7" xfId="0" applyNumberFormat="1" applyFont="1" applyBorder="1" applyAlignment="1">
      <alignment vertical="center"/>
    </xf>
    <xf numFmtId="0" fontId="70" fillId="0" borderId="3" xfId="0" applyFont="1" applyBorder="1" applyAlignment="1">
      <alignment vertical="center"/>
    </xf>
    <xf numFmtId="14" fontId="70" fillId="0" borderId="3" xfId="0" applyNumberFormat="1" applyFont="1" applyBorder="1" applyAlignment="1">
      <alignment vertical="center"/>
    </xf>
    <xf numFmtId="0" fontId="71" fillId="0" borderId="17" xfId="0" applyFont="1" applyBorder="1" applyAlignment="1">
      <alignment horizontal="justify" vertical="top" wrapText="1"/>
    </xf>
    <xf numFmtId="0" fontId="18" fillId="0" borderId="3" xfId="0" applyFont="1" applyBorder="1" applyAlignment="1" applyProtection="1">
      <alignment horizontal="justify" vertical="top" wrapText="1"/>
      <protection locked="0"/>
    </xf>
    <xf numFmtId="0" fontId="40" fillId="0" borderId="11" xfId="0" applyFont="1" applyBorder="1" applyAlignment="1" applyProtection="1">
      <alignment horizontal="justify" vertical="center"/>
      <protection locked="0"/>
    </xf>
    <xf numFmtId="0" fontId="0" fillId="0" borderId="7" xfId="0" applyBorder="1" applyAlignment="1" applyProtection="1">
      <alignment vertical="center" wrapText="1"/>
      <protection locked="0"/>
    </xf>
    <xf numFmtId="0" fontId="13" fillId="14" borderId="37" xfId="0" applyFont="1" applyFill="1" applyBorder="1" applyAlignment="1">
      <alignment horizontal="center" vertical="center"/>
    </xf>
    <xf numFmtId="0" fontId="41" fillId="0" borderId="3" xfId="0" applyFont="1" applyBorder="1" applyAlignment="1" applyProtection="1">
      <alignment horizontal="justify" vertical="center"/>
      <protection locked="0"/>
    </xf>
    <xf numFmtId="0" fontId="39" fillId="0" borderId="41" xfId="0" applyFont="1" applyBorder="1" applyAlignment="1" applyProtection="1">
      <alignment vertical="center" wrapText="1"/>
      <protection locked="0"/>
    </xf>
    <xf numFmtId="0" fontId="41" fillId="0" borderId="7" xfId="0" applyFont="1" applyBorder="1" applyAlignment="1" applyProtection="1">
      <alignment horizontal="justify" vertical="center"/>
      <protection locked="0"/>
    </xf>
    <xf numFmtId="0" fontId="39" fillId="0" borderId="7" xfId="0" applyFont="1" applyBorder="1" applyAlignment="1" applyProtection="1">
      <alignment wrapText="1"/>
      <protection locked="0"/>
    </xf>
    <xf numFmtId="0" fontId="41" fillId="0" borderId="41" xfId="0" applyFont="1" applyBorder="1" applyAlignment="1" applyProtection="1">
      <alignment horizontal="justify" vertical="center"/>
      <protection locked="0"/>
    </xf>
    <xf numFmtId="0" fontId="41" fillId="0" borderId="41" xfId="0" applyFont="1" applyBorder="1" applyAlignment="1" applyProtection="1">
      <alignment vertical="center" wrapText="1"/>
      <protection locked="0"/>
    </xf>
    <xf numFmtId="0" fontId="13" fillId="19" borderId="37" xfId="0" applyFont="1" applyFill="1" applyBorder="1" applyAlignment="1">
      <alignment horizontal="center" vertical="center" wrapText="1"/>
    </xf>
    <xf numFmtId="0" fontId="0" fillId="0" borderId="0" xfId="0" applyAlignment="1">
      <alignment vertical="top" wrapText="1"/>
    </xf>
    <xf numFmtId="0" fontId="39" fillId="0" borderId="3" xfId="0" applyFont="1" applyBorder="1" applyAlignment="1" applyProtection="1">
      <alignment vertical="top" wrapText="1"/>
      <protection locked="0"/>
    </xf>
    <xf numFmtId="0" fontId="0" fillId="0" borderId="3" xfId="0" applyBorder="1" applyAlignment="1">
      <alignment vertical="top" wrapText="1"/>
    </xf>
    <xf numFmtId="0" fontId="12" fillId="13" borderId="52" xfId="0" applyFont="1" applyFill="1" applyBorder="1" applyAlignment="1">
      <alignment horizontal="center" vertical="center" wrapText="1"/>
    </xf>
    <xf numFmtId="0" fontId="12" fillId="13" borderId="57" xfId="0" applyFont="1" applyFill="1" applyBorder="1" applyAlignment="1">
      <alignment horizontal="center" vertical="center" wrapText="1"/>
    </xf>
    <xf numFmtId="0" fontId="39" fillId="0" borderId="52" xfId="0" applyFont="1" applyBorder="1" applyAlignment="1" applyProtection="1">
      <alignment horizontal="justify" vertical="top" wrapText="1"/>
      <protection locked="0"/>
    </xf>
    <xf numFmtId="0" fontId="39" fillId="0" borderId="52" xfId="0" applyFont="1" applyBorder="1" applyAlignment="1" applyProtection="1">
      <alignment horizontal="center" vertical="center" wrapText="1"/>
      <protection locked="0"/>
    </xf>
    <xf numFmtId="0" fontId="1" fillId="0" borderId="52" xfId="0" applyFont="1" applyBorder="1" applyAlignment="1" applyProtection="1">
      <alignment horizontal="center" vertical="center" wrapText="1"/>
      <protection locked="0"/>
    </xf>
    <xf numFmtId="0" fontId="1" fillId="0" borderId="52" xfId="0" applyFont="1" applyBorder="1" applyAlignment="1">
      <alignment horizontal="center" vertical="center" wrapText="1"/>
    </xf>
    <xf numFmtId="0" fontId="13" fillId="0" borderId="52" xfId="0" applyFont="1" applyBorder="1" applyAlignment="1">
      <alignment horizontal="center" vertical="center" wrapText="1"/>
    </xf>
    <xf numFmtId="0" fontId="13" fillId="0" borderId="52" xfId="0" applyFont="1" applyBorder="1" applyAlignment="1" applyProtection="1">
      <alignment horizontal="center" vertical="center" wrapText="1"/>
      <protection locked="0"/>
    </xf>
    <xf numFmtId="0" fontId="41" fillId="10" borderId="52" xfId="0" applyFont="1" applyFill="1" applyBorder="1" applyAlignment="1" applyProtection="1">
      <alignment horizontal="justify" vertical="top" wrapText="1"/>
      <protection locked="0"/>
    </xf>
    <xf numFmtId="0" fontId="39" fillId="0" borderId="52" xfId="0" applyFont="1" applyBorder="1" applyAlignment="1" applyProtection="1">
      <alignment vertical="center" wrapText="1"/>
      <protection locked="0"/>
    </xf>
    <xf numFmtId="0" fontId="14" fillId="0" borderId="52" xfId="0" applyFont="1" applyBorder="1" applyAlignment="1" applyProtection="1">
      <alignment horizontal="justify" vertical="center" wrapText="1"/>
      <protection locked="0"/>
    </xf>
    <xf numFmtId="0" fontId="1" fillId="0" borderId="52" xfId="0" applyFont="1" applyBorder="1" applyAlignment="1" applyProtection="1">
      <alignment vertical="center" wrapText="1"/>
      <protection locked="0"/>
    </xf>
    <xf numFmtId="0" fontId="0" fillId="0" borderId="52" xfId="0" applyBorder="1" applyAlignment="1">
      <alignment vertical="center" wrapText="1"/>
    </xf>
    <xf numFmtId="14" fontId="0" fillId="0" borderId="52" xfId="0" applyNumberFormat="1" applyBorder="1" applyAlignment="1">
      <alignment vertical="center" wrapText="1"/>
    </xf>
    <xf numFmtId="0" fontId="14" fillId="0" borderId="52" xfId="0" applyFont="1" applyBorder="1" applyAlignment="1" applyProtection="1">
      <alignment horizontal="justify" vertical="center"/>
      <protection locked="0"/>
    </xf>
    <xf numFmtId="0" fontId="10" fillId="0" borderId="52" xfId="0" applyFont="1" applyBorder="1" applyAlignment="1" applyProtection="1">
      <alignment horizontal="justify" vertical="top" wrapText="1"/>
      <protection locked="0"/>
    </xf>
    <xf numFmtId="0" fontId="10" fillId="0" borderId="59" xfId="0" applyFont="1" applyBorder="1" applyAlignment="1" applyProtection="1">
      <alignment horizontal="justify" vertical="top" wrapText="1"/>
      <protection locked="0"/>
    </xf>
    <xf numFmtId="0" fontId="0" fillId="0" borderId="52" xfId="0" applyBorder="1" applyAlignment="1">
      <alignment horizontal="center" vertical="top" wrapText="1"/>
    </xf>
    <xf numFmtId="14" fontId="0" fillId="0" borderId="52" xfId="0" applyNumberFormat="1" applyBorder="1" applyAlignment="1">
      <alignment horizontal="center" vertical="top" wrapText="1"/>
    </xf>
    <xf numFmtId="14" fontId="0" fillId="0" borderId="52" xfId="0" applyNumberFormat="1" applyBorder="1" applyAlignment="1">
      <alignment vertical="center"/>
    </xf>
    <xf numFmtId="0" fontId="0" fillId="0" borderId="52" xfId="0" applyBorder="1" applyAlignment="1">
      <alignment horizontal="justify" vertical="top" wrapText="1"/>
    </xf>
    <xf numFmtId="0" fontId="0" fillId="0" borderId="52" xfId="0" applyBorder="1" applyAlignment="1" applyProtection="1">
      <alignment horizontal="justify" vertical="top" wrapText="1"/>
      <protection locked="0"/>
    </xf>
    <xf numFmtId="0" fontId="1" fillId="0" borderId="52" xfId="0" applyFont="1" applyBorder="1" applyAlignment="1">
      <alignment vertical="center" wrapText="1"/>
    </xf>
    <xf numFmtId="0" fontId="10" fillId="0" borderId="52" xfId="0" applyFont="1" applyBorder="1" applyAlignment="1">
      <alignment vertical="center" wrapText="1"/>
    </xf>
    <xf numFmtId="14" fontId="10" fillId="0" borderId="52" xfId="0" applyNumberFormat="1" applyFont="1" applyBorder="1" applyAlignment="1">
      <alignment vertical="center" wrapText="1"/>
    </xf>
    <xf numFmtId="14" fontId="10" fillId="0" borderId="52" xfId="0" applyNumberFormat="1" applyFont="1" applyBorder="1" applyAlignment="1">
      <alignment vertical="center"/>
    </xf>
    <xf numFmtId="0" fontId="0" fillId="0" borderId="52" xfId="0" applyBorder="1"/>
    <xf numFmtId="0" fontId="0" fillId="0" borderId="60" xfId="0" applyBorder="1"/>
    <xf numFmtId="0" fontId="0" fillId="0" borderId="59" xfId="0" applyBorder="1"/>
    <xf numFmtId="0" fontId="0" fillId="14" borderId="59" xfId="0" applyFill="1" applyBorder="1"/>
    <xf numFmtId="0" fontId="0" fillId="0" borderId="63" xfId="0" applyBorder="1" applyAlignment="1">
      <alignment vertical="center" wrapText="1"/>
    </xf>
    <xf numFmtId="14" fontId="0" fillId="0" borderId="63" xfId="0" applyNumberFormat="1" applyBorder="1" applyAlignment="1">
      <alignment vertical="center" wrapText="1"/>
    </xf>
    <xf numFmtId="0" fontId="69" fillId="0" borderId="63" xfId="0" applyFont="1" applyBorder="1" applyAlignment="1" applyProtection="1">
      <alignment horizontal="center" vertical="center" wrapText="1"/>
      <protection locked="0"/>
    </xf>
    <xf numFmtId="14" fontId="0" fillId="0" borderId="63" xfId="0" applyNumberFormat="1" applyBorder="1" applyAlignment="1">
      <alignment horizontal="center" vertical="center" wrapText="1"/>
    </xf>
    <xf numFmtId="14" fontId="0" fillId="0" borderId="63" xfId="0" applyNumberFormat="1" applyBorder="1" applyAlignment="1">
      <alignment horizontal="center" vertical="center"/>
    </xf>
    <xf numFmtId="0" fontId="10" fillId="0" borderId="65" xfId="0" applyFont="1" applyBorder="1" applyAlignment="1" applyProtection="1">
      <alignment horizontal="justify" vertical="top" wrapText="1"/>
      <protection locked="0"/>
    </xf>
    <xf numFmtId="0" fontId="39" fillId="0" borderId="63" xfId="0" applyFont="1" applyBorder="1" applyAlignment="1" applyProtection="1">
      <alignment horizontal="center" vertical="center" wrapText="1"/>
      <protection locked="0"/>
    </xf>
    <xf numFmtId="0" fontId="39" fillId="0" borderId="63" xfId="0" applyFont="1" applyBorder="1" applyAlignment="1" applyProtection="1">
      <alignment horizontal="justify" vertical="top" wrapText="1"/>
      <protection locked="0"/>
    </xf>
    <xf numFmtId="0" fontId="39" fillId="0" borderId="63" xfId="0" applyFont="1" applyBorder="1" applyAlignment="1" applyProtection="1">
      <alignment vertical="center" wrapText="1"/>
      <protection locked="0"/>
    </xf>
    <xf numFmtId="0" fontId="14" fillId="0" borderId="63" xfId="0" applyFont="1" applyBorder="1" applyAlignment="1" applyProtection="1">
      <alignment horizontal="justify" vertical="center" wrapText="1"/>
      <protection locked="0"/>
    </xf>
    <xf numFmtId="0" fontId="14" fillId="0" borderId="63" xfId="0" applyFont="1" applyBorder="1" applyAlignment="1" applyProtection="1">
      <alignment horizontal="justify" vertical="center"/>
      <protection locked="0"/>
    </xf>
    <xf numFmtId="0" fontId="1" fillId="0" borderId="63" xfId="0" applyFont="1" applyBorder="1" applyAlignment="1" applyProtection="1">
      <alignment horizontal="center" vertical="center" wrapText="1"/>
      <protection locked="0"/>
    </xf>
    <xf numFmtId="0" fontId="1" fillId="0" borderId="63"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63" xfId="0" applyFont="1" applyBorder="1" applyAlignment="1" applyProtection="1">
      <alignment horizontal="center" vertical="center" wrapText="1"/>
      <protection locked="0"/>
    </xf>
    <xf numFmtId="0" fontId="13" fillId="0" borderId="63" xfId="0" applyFont="1" applyBorder="1" applyAlignment="1">
      <alignment vertical="center" wrapText="1"/>
    </xf>
    <xf numFmtId="0" fontId="40" fillId="0" borderId="63" xfId="0" applyFont="1" applyBorder="1" applyAlignment="1" applyProtection="1">
      <alignment horizontal="justify" vertical="center"/>
      <protection locked="0"/>
    </xf>
    <xf numFmtId="0" fontId="0" fillId="0" borderId="63" xfId="0" applyBorder="1" applyAlignment="1">
      <alignment horizontal="justify" vertical="top" wrapText="1"/>
    </xf>
    <xf numFmtId="0" fontId="0" fillId="0" borderId="63" xfId="0" applyBorder="1" applyAlignment="1">
      <alignment horizontal="center" vertical="center" wrapText="1"/>
    </xf>
    <xf numFmtId="0" fontId="39" fillId="0" borderId="63" xfId="0" applyFont="1" applyBorder="1" applyAlignment="1" applyProtection="1">
      <alignment horizontal="justify" vertical="center" wrapText="1"/>
      <protection locked="0"/>
    </xf>
    <xf numFmtId="0" fontId="1" fillId="0" borderId="63" xfId="0" applyFont="1" applyBorder="1" applyAlignment="1" applyProtection="1">
      <alignment vertical="center" wrapText="1"/>
      <protection locked="0"/>
    </xf>
    <xf numFmtId="0" fontId="0" fillId="0" borderId="63" xfId="0" applyBorder="1" applyAlignment="1">
      <alignment horizontal="justify" vertical="center" wrapText="1"/>
    </xf>
    <xf numFmtId="0" fontId="14" fillId="0" borderId="63" xfId="0" applyFont="1" applyBorder="1" applyAlignment="1" applyProtection="1">
      <alignment horizontal="justify" vertical="top" wrapText="1"/>
      <protection locked="0"/>
    </xf>
    <xf numFmtId="0" fontId="56" fillId="0" borderId="63" xfId="0" applyFont="1" applyBorder="1" applyAlignment="1">
      <alignment horizontal="justify" vertical="center" wrapText="1"/>
    </xf>
    <xf numFmtId="0" fontId="10" fillId="0" borderId="63" xfId="0" applyFont="1" applyBorder="1" applyAlignment="1" applyProtection="1">
      <alignment horizontal="justify" vertical="top" wrapText="1"/>
      <protection locked="0"/>
    </xf>
    <xf numFmtId="0" fontId="69" fillId="0" borderId="63" xfId="0" applyFont="1" applyBorder="1" applyAlignment="1" applyProtection="1">
      <alignment horizontal="justify" vertical="top" wrapText="1"/>
      <protection locked="0"/>
    </xf>
    <xf numFmtId="0" fontId="1" fillId="0" borderId="63" xfId="0" applyFont="1" applyBorder="1" applyAlignment="1" applyProtection="1">
      <alignment horizontal="justify" vertical="center"/>
      <protection locked="0"/>
    </xf>
    <xf numFmtId="0" fontId="41" fillId="0" borderId="63" xfId="0" applyFont="1" applyBorder="1" applyAlignment="1" applyProtection="1">
      <alignment vertical="center" wrapText="1"/>
      <protection locked="0"/>
    </xf>
    <xf numFmtId="0" fontId="39" fillId="0" borderId="63" xfId="0" applyFont="1" applyBorder="1" applyAlignment="1" applyProtection="1">
      <alignment wrapText="1"/>
      <protection locked="0"/>
    </xf>
    <xf numFmtId="0" fontId="12" fillId="13" borderId="70" xfId="0" applyFont="1" applyFill="1" applyBorder="1" applyAlignment="1">
      <alignment horizontal="center" vertical="center" wrapText="1"/>
    </xf>
    <xf numFmtId="0" fontId="10" fillId="0" borderId="63" xfId="0" applyFont="1" applyBorder="1" applyAlignment="1" applyProtection="1">
      <alignment vertical="center" wrapText="1"/>
      <protection locked="0"/>
    </xf>
    <xf numFmtId="0" fontId="0" fillId="0" borderId="63" xfId="0" applyBorder="1" applyAlignment="1" applyProtection="1">
      <alignment vertical="center" wrapText="1"/>
      <protection locked="0"/>
    </xf>
    <xf numFmtId="0" fontId="1" fillId="0" borderId="63" xfId="0" applyFont="1" applyBorder="1" applyAlignment="1" applyProtection="1">
      <alignment horizontal="center" vertical="center"/>
      <protection locked="0"/>
    </xf>
    <xf numFmtId="0" fontId="10" fillId="0" borderId="63" xfId="0" applyFont="1" applyBorder="1" applyAlignment="1" applyProtection="1">
      <alignment horizontal="justify" vertical="center" wrapText="1"/>
      <protection locked="0"/>
    </xf>
    <xf numFmtId="0" fontId="52" fillId="0" borderId="63" xfId="0" applyFont="1" applyBorder="1" applyAlignment="1">
      <alignment horizontal="justify" vertical="center" wrapText="1"/>
    </xf>
    <xf numFmtId="0" fontId="10" fillId="0" borderId="63" xfId="0" applyFont="1" applyBorder="1" applyAlignment="1">
      <alignment horizontal="center" vertical="center" wrapText="1"/>
    </xf>
    <xf numFmtId="14" fontId="10" fillId="0" borderId="63" xfId="0" applyNumberFormat="1" applyFont="1" applyBorder="1" applyAlignment="1">
      <alignment horizontal="center" vertical="center" wrapText="1"/>
    </xf>
    <xf numFmtId="0" fontId="18" fillId="0" borderId="63" xfId="0" applyFont="1" applyBorder="1" applyAlignment="1" applyProtection="1">
      <alignment vertical="center" wrapText="1"/>
      <protection locked="0"/>
    </xf>
    <xf numFmtId="0" fontId="13" fillId="0" borderId="63" xfId="0" applyFont="1" applyBorder="1" applyAlignment="1" applyProtection="1">
      <alignment vertical="center" wrapText="1"/>
      <protection locked="0"/>
    </xf>
    <xf numFmtId="0" fontId="0" fillId="0" borderId="63" xfId="0" applyBorder="1" applyAlignment="1" applyProtection="1">
      <alignment horizontal="justify" vertical="top" wrapText="1"/>
      <protection locked="0"/>
    </xf>
    <xf numFmtId="0" fontId="14" fillId="0" borderId="63" xfId="0" applyFont="1" applyBorder="1" applyAlignment="1" applyProtection="1">
      <alignment vertical="center" wrapText="1"/>
      <protection locked="0"/>
    </xf>
    <xf numFmtId="0" fontId="18" fillId="0" borderId="63" xfId="0" applyFont="1" applyBorder="1" applyAlignment="1" applyProtection="1">
      <alignment horizontal="center" vertical="center" wrapText="1"/>
      <protection locked="0"/>
    </xf>
    <xf numFmtId="0" fontId="1" fillId="0" borderId="63" xfId="0" applyFont="1" applyBorder="1" applyAlignment="1" applyProtection="1">
      <alignment horizontal="justify" vertical="top" wrapText="1"/>
      <protection locked="0"/>
    </xf>
    <xf numFmtId="0" fontId="61" fillId="0" borderId="63" xfId="0" applyFont="1" applyBorder="1" applyAlignment="1" applyProtection="1">
      <alignment horizontal="justify" vertical="top" wrapText="1"/>
      <protection locked="0"/>
    </xf>
    <xf numFmtId="0" fontId="18" fillId="0" borderId="63" xfId="0" applyFont="1" applyBorder="1" applyAlignment="1" applyProtection="1">
      <alignment horizontal="justify" vertical="center" wrapText="1"/>
      <protection locked="0"/>
    </xf>
    <xf numFmtId="0" fontId="1" fillId="0" borderId="63" xfId="0" applyFont="1" applyBorder="1" applyAlignment="1" applyProtection="1">
      <alignment horizontal="justify" vertical="center" wrapText="1"/>
      <protection locked="0"/>
    </xf>
    <xf numFmtId="14" fontId="0" fillId="0" borderId="63" xfId="0" applyNumberFormat="1" applyBorder="1" applyAlignment="1">
      <alignment horizontal="justify" vertical="top" wrapText="1"/>
    </xf>
    <xf numFmtId="0" fontId="18" fillId="0" borderId="63" xfId="0" applyFont="1" applyBorder="1" applyAlignment="1" applyProtection="1">
      <alignment horizontal="justify" vertical="top" wrapText="1"/>
      <protection locked="0"/>
    </xf>
    <xf numFmtId="0" fontId="1" fillId="9" borderId="63" xfId="0" applyFont="1" applyFill="1" applyBorder="1" applyAlignment="1" applyProtection="1">
      <alignment horizontal="justify" vertical="center" wrapText="1"/>
      <protection locked="0"/>
    </xf>
    <xf numFmtId="0" fontId="18" fillId="9" borderId="63" xfId="0" applyFont="1" applyFill="1" applyBorder="1" applyAlignment="1" applyProtection="1">
      <alignment vertical="center" wrapText="1"/>
      <protection locked="0"/>
    </xf>
    <xf numFmtId="0" fontId="1" fillId="9" borderId="63" xfId="0" applyFont="1" applyFill="1" applyBorder="1" applyAlignment="1" applyProtection="1">
      <alignment vertical="center" wrapText="1"/>
      <protection locked="0"/>
    </xf>
    <xf numFmtId="0" fontId="1" fillId="0" borderId="63" xfId="0" applyFont="1" applyBorder="1" applyProtection="1">
      <protection locked="0"/>
    </xf>
    <xf numFmtId="0" fontId="13" fillId="8" borderId="63" xfId="0" applyFont="1" applyFill="1" applyBorder="1" applyAlignment="1">
      <alignment horizontal="center" vertical="center" wrapText="1"/>
    </xf>
    <xf numFmtId="0" fontId="0" fillId="0" borderId="63" xfId="0" applyBorder="1" applyProtection="1">
      <protection locked="0"/>
    </xf>
    <xf numFmtId="0" fontId="0" fillId="0" borderId="63" xfId="0" applyBorder="1"/>
    <xf numFmtId="0" fontId="13" fillId="10" borderId="63" xfId="0" applyFont="1" applyFill="1" applyBorder="1" applyAlignment="1">
      <alignment horizontal="center" vertical="center" wrapText="1"/>
    </xf>
    <xf numFmtId="0" fontId="13" fillId="8" borderId="63" xfId="0" applyFont="1" applyFill="1" applyBorder="1" applyAlignment="1">
      <alignment vertical="center" wrapText="1"/>
    </xf>
    <xf numFmtId="0" fontId="20" fillId="10" borderId="64" xfId="0" applyFont="1" applyFill="1" applyBorder="1"/>
    <xf numFmtId="0" fontId="20" fillId="10" borderId="67" xfId="0" applyFont="1" applyFill="1" applyBorder="1" applyAlignment="1">
      <alignment vertical="center" wrapText="1"/>
    </xf>
    <xf numFmtId="0" fontId="21" fillId="10" borderId="64" xfId="0" applyFont="1" applyFill="1" applyBorder="1" applyAlignment="1">
      <alignment wrapText="1"/>
    </xf>
    <xf numFmtId="0" fontId="21" fillId="10" borderId="67" xfId="0" applyFont="1" applyFill="1" applyBorder="1" applyAlignment="1">
      <alignment vertical="center" wrapText="1"/>
    </xf>
    <xf numFmtId="0" fontId="22" fillId="10" borderId="64" xfId="0" applyFont="1" applyFill="1" applyBorder="1"/>
    <xf numFmtId="0" fontId="22" fillId="10" borderId="67" xfId="0" applyFont="1" applyFill="1" applyBorder="1" applyAlignment="1">
      <alignment vertical="center" wrapText="1"/>
    </xf>
    <xf numFmtId="0" fontId="23" fillId="10" borderId="64" xfId="0" applyFont="1" applyFill="1" applyBorder="1" applyAlignment="1">
      <alignment wrapText="1"/>
    </xf>
    <xf numFmtId="0" fontId="23" fillId="10" borderId="67" xfId="0" applyFont="1" applyFill="1" applyBorder="1" applyAlignment="1">
      <alignment vertical="center" wrapText="1"/>
    </xf>
    <xf numFmtId="0" fontId="24" fillId="10" borderId="64" xfId="0" applyFont="1" applyFill="1" applyBorder="1" applyAlignment="1">
      <alignment wrapText="1"/>
    </xf>
    <xf numFmtId="0" fontId="24" fillId="10" borderId="67" xfId="0" applyFont="1" applyFill="1" applyBorder="1" applyAlignment="1">
      <alignment vertical="center" wrapText="1"/>
    </xf>
    <xf numFmtId="0" fontId="25" fillId="10" borderId="64" xfId="0" applyFont="1" applyFill="1" applyBorder="1" applyAlignment="1">
      <alignment wrapText="1"/>
    </xf>
    <xf numFmtId="0" fontId="25" fillId="10" borderId="67" xfId="0" applyFont="1" applyFill="1" applyBorder="1" applyAlignment="1">
      <alignment vertical="center" wrapText="1"/>
    </xf>
    <xf numFmtId="0" fontId="0" fillId="10" borderId="64" xfId="0" applyFill="1" applyBorder="1" applyAlignment="1">
      <alignment wrapText="1"/>
    </xf>
    <xf numFmtId="0" fontId="0" fillId="10" borderId="67" xfId="0" applyFill="1" applyBorder="1" applyAlignment="1">
      <alignment vertical="center"/>
    </xf>
    <xf numFmtId="0" fontId="0" fillId="10" borderId="63" xfId="0" applyFill="1" applyBorder="1" applyAlignment="1">
      <alignment wrapText="1"/>
    </xf>
    <xf numFmtId="0" fontId="33" fillId="21" borderId="63" xfId="0" applyFont="1" applyFill="1" applyBorder="1" applyAlignment="1" applyProtection="1">
      <alignment horizontal="center"/>
      <protection hidden="1"/>
    </xf>
    <xf numFmtId="0" fontId="34" fillId="0" borderId="64" xfId="0" applyFont="1" applyBorder="1" applyAlignment="1" applyProtection="1">
      <alignment horizontal="center" vertical="center"/>
      <protection hidden="1"/>
    </xf>
    <xf numFmtId="0" fontId="34" fillId="0" borderId="67" xfId="0" applyFont="1" applyBorder="1" applyAlignment="1" applyProtection="1">
      <alignment horizontal="center" vertical="center" wrapText="1"/>
      <protection hidden="1"/>
    </xf>
    <xf numFmtId="0" fontId="34" fillId="0" borderId="63" xfId="0" applyFont="1" applyBorder="1" applyAlignment="1" applyProtection="1">
      <alignment horizontal="center" vertical="center"/>
      <protection hidden="1"/>
    </xf>
    <xf numFmtId="0" fontId="34" fillId="0" borderId="63" xfId="0" applyFont="1" applyBorder="1" applyAlignment="1" applyProtection="1">
      <alignment horizontal="center" vertical="center" wrapText="1"/>
      <protection hidden="1"/>
    </xf>
    <xf numFmtId="0" fontId="1" fillId="10" borderId="63" xfId="0" applyFont="1" applyFill="1" applyBorder="1" applyAlignment="1">
      <alignment horizontal="center" vertical="center" wrapText="1"/>
    </xf>
    <xf numFmtId="0" fontId="1" fillId="10" borderId="63" xfId="0" applyFont="1" applyFill="1" applyBorder="1" applyAlignment="1" applyProtection="1">
      <alignment horizontal="center" vertical="center" wrapText="1"/>
      <protection locked="0"/>
    </xf>
    <xf numFmtId="0" fontId="39" fillId="0" borderId="71" xfId="0" applyFont="1" applyBorder="1" applyAlignment="1" applyProtection="1">
      <alignment horizontal="center" vertical="center" wrapText="1"/>
      <protection locked="0"/>
    </xf>
    <xf numFmtId="0" fontId="39" fillId="0" borderId="71" xfId="0" applyFont="1" applyBorder="1" applyAlignment="1" applyProtection="1">
      <alignment horizontal="justify" vertical="top" wrapText="1"/>
      <protection locked="0"/>
    </xf>
    <xf numFmtId="0" fontId="40" fillId="0" borderId="71" xfId="0" applyFont="1" applyBorder="1" applyAlignment="1" applyProtection="1">
      <alignment horizontal="justify" vertical="center"/>
      <protection locked="0"/>
    </xf>
    <xf numFmtId="0" fontId="41" fillId="0" borderId="71" xfId="0" applyFont="1" applyBorder="1" applyAlignment="1" applyProtection="1">
      <alignment horizontal="center" vertical="center" wrapText="1"/>
      <protection locked="0"/>
    </xf>
    <xf numFmtId="0" fontId="1" fillId="0" borderId="71" xfId="0" applyFont="1" applyBorder="1" applyAlignment="1" applyProtection="1">
      <alignment horizontal="center" vertical="center" wrapText="1"/>
      <protection locked="0"/>
    </xf>
    <xf numFmtId="0" fontId="1" fillId="0" borderId="71" xfId="0" applyFont="1" applyBorder="1" applyAlignment="1">
      <alignment horizontal="center" vertical="center" wrapText="1"/>
    </xf>
    <xf numFmtId="0" fontId="13" fillId="0" borderId="71" xfId="0" applyFont="1" applyBorder="1" applyAlignment="1">
      <alignment horizontal="center" vertical="center" wrapText="1"/>
    </xf>
    <xf numFmtId="0" fontId="13" fillId="0" borderId="71" xfId="0" applyFont="1" applyBorder="1" applyAlignment="1" applyProtection="1">
      <alignment horizontal="center" vertical="center" wrapText="1"/>
      <protection locked="0"/>
    </xf>
    <xf numFmtId="0" fontId="0" fillId="0" borderId="71" xfId="0" applyBorder="1" applyAlignment="1">
      <alignment vertical="center" wrapText="1"/>
    </xf>
    <xf numFmtId="0" fontId="39" fillId="0" borderId="71" xfId="0" applyFont="1" applyBorder="1" applyAlignment="1" applyProtection="1">
      <alignment vertical="center" wrapText="1"/>
      <protection locked="0"/>
    </xf>
    <xf numFmtId="0" fontId="14" fillId="0" borderId="71" xfId="0" applyFont="1" applyBorder="1" applyAlignment="1" applyProtection="1">
      <alignment horizontal="justify" vertical="center"/>
      <protection locked="0"/>
    </xf>
    <xf numFmtId="14" fontId="0" fillId="0" borderId="71" xfId="0" applyNumberFormat="1" applyBorder="1" applyAlignment="1">
      <alignment vertical="center" wrapText="1"/>
    </xf>
    <xf numFmtId="0" fontId="40" fillId="0" borderId="71" xfId="0" applyFont="1" applyBorder="1" applyAlignment="1" applyProtection="1">
      <alignment horizontal="justify" vertical="top" wrapText="1"/>
      <protection locked="0"/>
    </xf>
    <xf numFmtId="0" fontId="13" fillId="0" borderId="71" xfId="0" applyFont="1" applyBorder="1" applyAlignment="1">
      <alignment vertical="center" wrapText="1"/>
    </xf>
    <xf numFmtId="0" fontId="39" fillId="0" borderId="71" xfId="0" applyFont="1" applyBorder="1" applyAlignment="1" applyProtection="1">
      <alignment horizontal="justify" vertical="center" wrapText="1"/>
      <protection locked="0"/>
    </xf>
    <xf numFmtId="0" fontId="0" fillId="0" borderId="71" xfId="0" applyBorder="1" applyAlignment="1">
      <alignment horizontal="justify" vertical="top" wrapText="1"/>
    </xf>
    <xf numFmtId="0" fontId="0" fillId="0" borderId="71" xfId="0" applyBorder="1" applyAlignment="1">
      <alignment horizontal="center" vertical="center" wrapText="1"/>
    </xf>
    <xf numFmtId="0" fontId="51" fillId="0" borderId="71" xfId="0" applyFont="1" applyBorder="1" applyAlignment="1" applyProtection="1">
      <alignment horizontal="justify" vertical="center" wrapText="1"/>
      <protection locked="0"/>
    </xf>
    <xf numFmtId="0" fontId="0" fillId="0" borderId="71" xfId="0" applyBorder="1" applyAlignment="1">
      <alignment horizontal="justify" vertical="center" wrapText="1"/>
    </xf>
    <xf numFmtId="0" fontId="14" fillId="0" borderId="71" xfId="0" applyFont="1" applyBorder="1" applyAlignment="1" applyProtection="1">
      <alignment horizontal="justify" vertical="center" wrapText="1"/>
      <protection locked="0"/>
    </xf>
    <xf numFmtId="0" fontId="1" fillId="0" borderId="71" xfId="0" applyFont="1" applyBorder="1" applyAlignment="1" applyProtection="1">
      <alignment vertical="center" wrapText="1"/>
      <protection locked="0"/>
    </xf>
    <xf numFmtId="14" fontId="0" fillId="0" borderId="71" xfId="0" applyNumberFormat="1" applyBorder="1" applyAlignment="1">
      <alignment horizontal="center" vertical="center" wrapText="1"/>
    </xf>
    <xf numFmtId="0" fontId="41" fillId="0" borderId="71" xfId="0" applyFont="1" applyBorder="1" applyAlignment="1" applyProtection="1">
      <alignment vertical="center" wrapText="1"/>
      <protection locked="0"/>
    </xf>
    <xf numFmtId="0" fontId="41" fillId="0" borderId="71" xfId="0" applyFont="1" applyBorder="1" applyAlignment="1" applyProtection="1">
      <alignment horizontal="center" vertical="top" wrapText="1"/>
      <protection locked="0"/>
    </xf>
    <xf numFmtId="0" fontId="1" fillId="0" borderId="71" xfId="0" applyFont="1" applyBorder="1" applyAlignment="1" applyProtection="1">
      <alignment horizontal="center" vertical="top" wrapText="1"/>
      <protection locked="0"/>
    </xf>
    <xf numFmtId="0" fontId="14" fillId="0" borderId="71" xfId="0" applyFont="1" applyBorder="1" applyAlignment="1" applyProtection="1">
      <alignment horizontal="justify" vertical="top" wrapText="1"/>
      <protection locked="0"/>
    </xf>
    <xf numFmtId="0" fontId="39" fillId="0" borderId="71" xfId="0" applyFont="1" applyBorder="1" applyAlignment="1" applyProtection="1">
      <alignment wrapText="1"/>
      <protection locked="0"/>
    </xf>
    <xf numFmtId="0" fontId="56" fillId="0" borderId="71" xfId="0" applyFont="1" applyBorder="1" applyAlignment="1">
      <alignment horizontal="justify" vertical="center" wrapText="1"/>
    </xf>
    <xf numFmtId="0" fontId="60" fillId="0" borderId="71" xfId="0" applyFont="1" applyBorder="1" applyAlignment="1">
      <alignment horizontal="justify" vertical="center" wrapText="1"/>
    </xf>
    <xf numFmtId="0" fontId="41" fillId="0" borderId="71" xfId="0" applyFont="1" applyBorder="1" applyAlignment="1" applyProtection="1">
      <alignment horizontal="justify" vertical="top" wrapText="1"/>
      <protection locked="0"/>
    </xf>
    <xf numFmtId="0" fontId="41" fillId="0" borderId="71" xfId="0" applyFont="1" applyBorder="1" applyAlignment="1" applyProtection="1">
      <alignment horizontal="justify" vertical="center" wrapText="1"/>
      <protection locked="0"/>
    </xf>
    <xf numFmtId="0" fontId="41" fillId="10" borderId="71" xfId="0" applyFont="1" applyFill="1" applyBorder="1" applyAlignment="1" applyProtection="1">
      <alignment horizontal="justify" vertical="top" wrapText="1"/>
      <protection locked="0"/>
    </xf>
    <xf numFmtId="0" fontId="41" fillId="10" borderId="71" xfId="0" applyFont="1" applyFill="1" applyBorder="1" applyAlignment="1">
      <alignment horizontal="justify" vertical="center" wrapText="1"/>
    </xf>
    <xf numFmtId="14" fontId="0" fillId="0" borderId="71" xfId="0" applyNumberFormat="1" applyBorder="1" applyAlignment="1">
      <alignment vertical="center"/>
    </xf>
    <xf numFmtId="0" fontId="39" fillId="0" borderId="71" xfId="0" applyFont="1" applyBorder="1" applyAlignment="1" applyProtection="1">
      <alignment horizontal="justify" wrapText="1"/>
      <protection locked="0"/>
    </xf>
    <xf numFmtId="0" fontId="10" fillId="0" borderId="71" xfId="0" applyFont="1" applyBorder="1" applyAlignment="1" applyProtection="1">
      <alignment horizontal="justify" vertical="top" wrapText="1"/>
      <protection locked="0"/>
    </xf>
    <xf numFmtId="0" fontId="69" fillId="0" borderId="71" xfId="0" applyFont="1" applyBorder="1" applyAlignment="1" applyProtection="1">
      <alignment horizontal="center" vertical="center" wrapText="1"/>
      <protection locked="0"/>
    </xf>
    <xf numFmtId="14" fontId="0" fillId="0" borderId="71" xfId="0" applyNumberFormat="1" applyBorder="1" applyAlignment="1">
      <alignment horizontal="center" vertical="center"/>
    </xf>
    <xf numFmtId="0" fontId="69" fillId="0" borderId="71" xfId="0" applyFont="1" applyBorder="1" applyAlignment="1" applyProtection="1">
      <alignment horizontal="justify" vertical="top" wrapText="1"/>
      <protection locked="0"/>
    </xf>
    <xf numFmtId="0" fontId="0" fillId="0" borderId="71" xfId="0" applyBorder="1" applyAlignment="1">
      <alignment horizontal="center" vertical="top" wrapText="1"/>
    </xf>
    <xf numFmtId="14" fontId="0" fillId="0" borderId="71" xfId="0" applyNumberFormat="1" applyBorder="1" applyAlignment="1">
      <alignment horizontal="center" vertical="top" wrapText="1"/>
    </xf>
    <xf numFmtId="0" fontId="71" fillId="0" borderId="71" xfId="0" applyFont="1" applyBorder="1" applyAlignment="1">
      <alignment horizontal="justify" vertical="top" wrapText="1"/>
    </xf>
    <xf numFmtId="0" fontId="1" fillId="0" borderId="71" xfId="0" applyFont="1" applyBorder="1" applyAlignment="1" applyProtection="1">
      <alignment horizontal="justify" vertical="top" wrapText="1"/>
      <protection locked="0"/>
    </xf>
    <xf numFmtId="0" fontId="18" fillId="0" borderId="71" xfId="0" applyFont="1" applyBorder="1" applyAlignment="1" applyProtection="1">
      <alignment horizontal="center" vertical="center" wrapText="1"/>
      <protection locked="0"/>
    </xf>
    <xf numFmtId="0" fontId="41" fillId="0" borderId="71" xfId="0" applyFont="1" applyBorder="1" applyAlignment="1" applyProtection="1">
      <alignment horizontal="justify" vertical="center"/>
      <protection locked="0"/>
    </xf>
    <xf numFmtId="0" fontId="1" fillId="0" borderId="71" xfId="0" applyFont="1" applyBorder="1" applyAlignment="1" applyProtection="1">
      <alignment horizontal="justify" vertical="center"/>
      <protection locked="0"/>
    </xf>
    <xf numFmtId="0" fontId="0" fillId="0" borderId="71" xfId="0" applyBorder="1" applyAlignment="1" applyProtection="1">
      <alignment horizontal="justify" vertical="top" wrapText="1"/>
      <protection locked="0"/>
    </xf>
    <xf numFmtId="0" fontId="10" fillId="0" borderId="71" xfId="0" applyFont="1" applyBorder="1" applyAlignment="1" applyProtection="1">
      <alignment vertical="center" wrapText="1"/>
      <protection locked="0"/>
    </xf>
    <xf numFmtId="0" fontId="0" fillId="0" borderId="71" xfId="0" applyBorder="1" applyAlignment="1" applyProtection="1">
      <alignment vertical="center" wrapText="1"/>
      <protection locked="0"/>
    </xf>
    <xf numFmtId="0" fontId="1" fillId="0" borderId="71" xfId="0" applyFont="1" applyBorder="1" applyAlignment="1" applyProtection="1">
      <alignment horizontal="center" vertical="center"/>
      <protection locked="0"/>
    </xf>
    <xf numFmtId="0" fontId="1" fillId="10" borderId="71" xfId="0" applyFont="1" applyFill="1" applyBorder="1" applyAlignment="1">
      <alignment horizontal="justify" vertical="top" wrapText="1"/>
    </xf>
    <xf numFmtId="0" fontId="1" fillId="10" borderId="71" xfId="0" applyFont="1" applyFill="1" applyBorder="1" applyAlignment="1">
      <alignment horizontal="center" vertical="center" wrapText="1"/>
    </xf>
    <xf numFmtId="14" fontId="10" fillId="0" borderId="71" xfId="0" applyNumberFormat="1" applyFont="1" applyBorder="1" applyAlignment="1">
      <alignment horizontal="center" vertical="center" wrapText="1"/>
    </xf>
    <xf numFmtId="14" fontId="10" fillId="0" borderId="71" xfId="0" applyNumberFormat="1" applyFont="1" applyBorder="1" applyAlignment="1">
      <alignment horizontal="center" vertical="center"/>
    </xf>
    <xf numFmtId="0" fontId="1" fillId="10" borderId="71" xfId="0" applyFont="1" applyFill="1" applyBorder="1" applyAlignment="1" applyProtection="1">
      <alignment horizontal="center" vertical="center" wrapText="1"/>
      <protection locked="0"/>
    </xf>
    <xf numFmtId="0" fontId="10" fillId="0" borderId="71" xfId="0" applyFont="1" applyBorder="1" applyAlignment="1">
      <alignment horizontal="center" vertical="center" wrapText="1"/>
    </xf>
    <xf numFmtId="0" fontId="10" fillId="0" borderId="71" xfId="0" applyFont="1" applyBorder="1" applyAlignment="1" applyProtection="1">
      <alignment horizontal="justify" vertical="center" wrapText="1"/>
      <protection locked="0"/>
    </xf>
    <xf numFmtId="0" fontId="1" fillId="0" borderId="71" xfId="0" applyFont="1" applyBorder="1" applyAlignment="1">
      <alignment horizontal="justify" vertical="center" wrapText="1"/>
    </xf>
    <xf numFmtId="0" fontId="14" fillId="0" borderId="71" xfId="0" applyFont="1" applyBorder="1" applyAlignment="1" applyProtection="1">
      <alignment vertical="center" wrapText="1"/>
      <protection locked="0"/>
    </xf>
    <xf numFmtId="0" fontId="13" fillId="0" borderId="71" xfId="0" applyFont="1" applyBorder="1" applyAlignment="1" applyProtection="1">
      <alignment vertical="center" wrapText="1"/>
      <protection locked="0"/>
    </xf>
    <xf numFmtId="0" fontId="18" fillId="0" borderId="71" xfId="0" applyFont="1" applyBorder="1" applyAlignment="1" applyProtection="1">
      <alignment vertical="center" wrapText="1"/>
      <protection locked="0"/>
    </xf>
    <xf numFmtId="14" fontId="1" fillId="0" borderId="71" xfId="0" applyNumberFormat="1" applyFont="1" applyBorder="1" applyAlignment="1" applyProtection="1">
      <alignment horizontal="center" vertical="center" wrapText="1"/>
      <protection locked="0"/>
    </xf>
    <xf numFmtId="0" fontId="61" fillId="0" borderId="71" xfId="0" applyFont="1" applyBorder="1" applyAlignment="1" applyProtection="1">
      <alignment horizontal="justify" vertical="top" wrapText="1"/>
      <protection locked="0"/>
    </xf>
    <xf numFmtId="0" fontId="1" fillId="0" borderId="71" xfId="0" applyFont="1" applyBorder="1" applyAlignment="1" applyProtection="1">
      <alignment horizontal="justify" vertical="center" wrapText="1"/>
      <protection locked="0"/>
    </xf>
    <xf numFmtId="14" fontId="1" fillId="0" borderId="71" xfId="0" applyNumberFormat="1" applyFont="1" applyBorder="1" applyAlignment="1" applyProtection="1">
      <alignment horizontal="justify" vertical="center" wrapText="1"/>
      <protection locked="0"/>
    </xf>
    <xf numFmtId="14" fontId="0" fillId="0" borderId="71" xfId="0" applyNumberFormat="1" applyBorder="1" applyAlignment="1">
      <alignment horizontal="justify" vertical="top" wrapText="1"/>
    </xf>
    <xf numFmtId="0" fontId="18" fillId="0" borderId="71" xfId="0" applyFont="1" applyBorder="1" applyAlignment="1" applyProtection="1">
      <alignment horizontal="justify" vertical="center" wrapText="1"/>
      <protection locked="0"/>
    </xf>
    <xf numFmtId="0" fontId="18" fillId="0" borderId="71" xfId="0" applyFont="1" applyBorder="1" applyAlignment="1" applyProtection="1">
      <alignment horizontal="justify" vertical="top" wrapText="1"/>
      <protection locked="0"/>
    </xf>
    <xf numFmtId="0" fontId="19" fillId="0" borderId="71" xfId="0" applyFont="1" applyBorder="1"/>
    <xf numFmtId="0" fontId="19" fillId="23" borderId="71" xfId="0" applyFont="1" applyFill="1" applyBorder="1" applyAlignment="1">
      <alignment wrapText="1"/>
    </xf>
    <xf numFmtId="0" fontId="19" fillId="0" borderId="71" xfId="0" applyFont="1" applyBorder="1" applyAlignment="1">
      <alignment wrapText="1"/>
    </xf>
    <xf numFmtId="0" fontId="19" fillId="22" borderId="71" xfId="0" applyFont="1" applyFill="1" applyBorder="1" applyAlignment="1">
      <alignment wrapText="1"/>
    </xf>
    <xf numFmtId="0" fontId="0" fillId="0" borderId="71" xfId="0" applyBorder="1"/>
    <xf numFmtId="0" fontId="1" fillId="9" borderId="71" xfId="0" applyFont="1" applyFill="1" applyBorder="1" applyAlignment="1" applyProtection="1">
      <alignment horizontal="justify" vertical="center" wrapText="1"/>
      <protection locked="0"/>
    </xf>
    <xf numFmtId="0" fontId="18" fillId="9" borderId="71" xfId="0" applyFont="1" applyFill="1" applyBorder="1" applyAlignment="1" applyProtection="1">
      <alignment vertical="center" wrapText="1"/>
      <protection locked="0"/>
    </xf>
    <xf numFmtId="0" fontId="1" fillId="9" borderId="71" xfId="0" applyFont="1" applyFill="1" applyBorder="1" applyAlignment="1" applyProtection="1">
      <alignment vertical="center" wrapText="1"/>
      <protection locked="0"/>
    </xf>
    <xf numFmtId="0" fontId="13" fillId="8" borderId="71" xfId="0" applyFont="1" applyFill="1" applyBorder="1" applyAlignment="1">
      <alignment horizontal="center" vertical="center" wrapText="1"/>
    </xf>
    <xf numFmtId="0" fontId="0" fillId="0" borderId="71" xfId="0" applyBorder="1" applyProtection="1">
      <protection locked="0"/>
    </xf>
    <xf numFmtId="0" fontId="13" fillId="10" borderId="71" xfId="0" applyFont="1" applyFill="1" applyBorder="1" applyAlignment="1">
      <alignment horizontal="center" vertical="center" wrapText="1"/>
    </xf>
    <xf numFmtId="0" fontId="13" fillId="8" borderId="71" xfId="0" applyFont="1" applyFill="1" applyBorder="1" applyAlignment="1">
      <alignment vertical="center" wrapText="1"/>
    </xf>
    <xf numFmtId="0" fontId="1" fillId="0" borderId="71" xfId="0" applyFont="1" applyBorder="1" applyProtection="1">
      <protection locked="0"/>
    </xf>
    <xf numFmtId="0" fontId="20" fillId="10" borderId="71" xfId="0" applyFont="1" applyFill="1" applyBorder="1"/>
    <xf numFmtId="0" fontId="21" fillId="10" borderId="71" xfId="0" applyFont="1" applyFill="1" applyBorder="1" applyAlignment="1">
      <alignment wrapText="1"/>
    </xf>
    <xf numFmtId="0" fontId="1" fillId="10" borderId="71" xfId="0" applyFont="1" applyFill="1" applyBorder="1" applyAlignment="1" applyProtection="1">
      <alignment vertical="center" wrapText="1"/>
      <protection locked="0"/>
    </xf>
    <xf numFmtId="0" fontId="22" fillId="10" borderId="71" xfId="0" applyFont="1" applyFill="1" applyBorder="1"/>
    <xf numFmtId="0" fontId="12" fillId="22" borderId="71" xfId="0" applyFont="1" applyFill="1" applyBorder="1" applyAlignment="1" applyProtection="1">
      <alignment horizontal="center" vertical="center" wrapText="1"/>
      <protection locked="0"/>
    </xf>
    <xf numFmtId="0" fontId="23" fillId="10" borderId="71" xfId="0" applyFont="1" applyFill="1" applyBorder="1" applyAlignment="1">
      <alignment wrapText="1"/>
    </xf>
    <xf numFmtId="0" fontId="24" fillId="10" borderId="71" xfId="0" applyFont="1" applyFill="1" applyBorder="1" applyAlignment="1">
      <alignment wrapText="1"/>
    </xf>
    <xf numFmtId="0" fontId="25" fillId="10" borderId="71" xfId="0" applyFont="1" applyFill="1" applyBorder="1" applyAlignment="1">
      <alignment wrapText="1"/>
    </xf>
    <xf numFmtId="0" fontId="0" fillId="10" borderId="71" xfId="0" applyFill="1" applyBorder="1" applyAlignment="1">
      <alignment wrapText="1"/>
    </xf>
    <xf numFmtId="0" fontId="0" fillId="10" borderId="66" xfId="0" applyFill="1" applyBorder="1" applyAlignment="1">
      <alignment wrapText="1"/>
    </xf>
    <xf numFmtId="0" fontId="0" fillId="14" borderId="71" xfId="0" applyFill="1" applyBorder="1"/>
    <xf numFmtId="0" fontId="34" fillId="0" borderId="71" xfId="0" applyFont="1" applyBorder="1" applyAlignment="1" applyProtection="1">
      <alignment horizontal="center" vertical="center"/>
      <protection hidden="1"/>
    </xf>
    <xf numFmtId="0" fontId="34" fillId="0" borderId="71" xfId="0" applyFont="1" applyBorder="1" applyAlignment="1" applyProtection="1">
      <alignment horizontal="center" vertical="center" wrapText="1"/>
      <protection hidden="1"/>
    </xf>
    <xf numFmtId="0" fontId="34" fillId="0" borderId="66" xfId="0" applyFont="1" applyBorder="1" applyAlignment="1" applyProtection="1">
      <alignment horizontal="center" vertical="center"/>
      <protection hidden="1"/>
    </xf>
    <xf numFmtId="0" fontId="3" fillId="0" borderId="72" xfId="3" applyBorder="1"/>
    <xf numFmtId="0" fontId="8" fillId="6" borderId="73" xfId="3" applyFont="1" applyFill="1" applyBorder="1" applyAlignment="1">
      <alignment horizontal="center" vertical="center"/>
    </xf>
    <xf numFmtId="0" fontId="6" fillId="0" borderId="74" xfId="3" applyFont="1" applyBorder="1"/>
    <xf numFmtId="0" fontId="6" fillId="0" borderId="72" xfId="3" applyFont="1" applyBorder="1"/>
    <xf numFmtId="0" fontId="8" fillId="7" borderId="73" xfId="3" applyFont="1" applyFill="1" applyBorder="1" applyAlignment="1">
      <alignment horizontal="center" vertical="center"/>
    </xf>
    <xf numFmtId="0" fontId="8" fillId="4" borderId="73" xfId="3" applyFont="1" applyFill="1" applyBorder="1" applyAlignment="1">
      <alignment horizontal="center" vertical="center"/>
    </xf>
    <xf numFmtId="0" fontId="8" fillId="0" borderId="75" xfId="3" applyFont="1" applyBorder="1"/>
    <xf numFmtId="0" fontId="8" fillId="3" borderId="73" xfId="3" applyFont="1" applyFill="1" applyBorder="1" applyAlignment="1">
      <alignment horizontal="center" vertical="center"/>
    </xf>
    <xf numFmtId="0" fontId="3" fillId="0" borderId="76" xfId="3" applyBorder="1"/>
    <xf numFmtId="0" fontId="3" fillId="0" borderId="76" xfId="3" applyBorder="1" applyAlignment="1">
      <alignment horizontal="center" vertical="center"/>
    </xf>
    <xf numFmtId="0" fontId="0" fillId="0" borderId="11" xfId="0" applyBorder="1" applyAlignment="1">
      <alignment horizontal="justify" vertical="top" wrapText="1"/>
    </xf>
    <xf numFmtId="14" fontId="76" fillId="0" borderId="3" xfId="0" applyNumberFormat="1" applyFont="1" applyBorder="1" applyAlignment="1">
      <alignment horizontal="center" vertical="center" wrapText="1"/>
    </xf>
    <xf numFmtId="14" fontId="76" fillId="0" borderId="32" xfId="0" applyNumberFormat="1" applyFont="1" applyBorder="1" applyAlignment="1">
      <alignment horizontal="center" vertical="center" wrapText="1"/>
    </xf>
    <xf numFmtId="0" fontId="80" fillId="0" borderId="52" xfId="0" applyFont="1" applyBorder="1" applyAlignment="1" applyProtection="1">
      <alignment horizontal="justify" vertical="center" wrapText="1"/>
      <protection locked="0"/>
    </xf>
    <xf numFmtId="0" fontId="80" fillId="0" borderId="71" xfId="0" applyFont="1" applyBorder="1" applyAlignment="1" applyProtection="1">
      <alignment horizontal="justify" vertical="center" wrapText="1"/>
      <protection locked="0"/>
    </xf>
    <xf numFmtId="0" fontId="10" fillId="0" borderId="71" xfId="0" applyFont="1" applyBorder="1" applyAlignment="1">
      <alignment vertical="center" wrapText="1"/>
    </xf>
    <xf numFmtId="0" fontId="39" fillId="0" borderId="71" xfId="0" applyFont="1" applyBorder="1" applyAlignment="1" applyProtection="1">
      <alignment horizontal="left" vertical="top" wrapText="1"/>
      <protection locked="0"/>
    </xf>
    <xf numFmtId="0" fontId="39" fillId="0" borderId="3" xfId="0" applyFont="1" applyBorder="1" applyAlignment="1" applyProtection="1">
      <alignment horizontal="left" vertical="top" wrapText="1"/>
      <protection locked="0"/>
    </xf>
    <xf numFmtId="0" fontId="72" fillId="10" borderId="3" xfId="0" applyFont="1" applyFill="1" applyBorder="1" applyAlignment="1" applyProtection="1">
      <alignment horizontal="justify" vertical="top" wrapText="1"/>
      <protection locked="0"/>
    </xf>
    <xf numFmtId="0" fontId="39" fillId="10" borderId="3" xfId="0" applyFont="1" applyFill="1" applyBorder="1" applyAlignment="1" applyProtection="1">
      <alignment vertical="center" wrapText="1"/>
      <protection locked="0"/>
    </xf>
    <xf numFmtId="0" fontId="72" fillId="10" borderId="37" xfId="0" applyFont="1" applyFill="1" applyBorder="1" applyAlignment="1" applyProtection="1">
      <alignment vertical="center" wrapText="1"/>
      <protection locked="0"/>
    </xf>
    <xf numFmtId="0" fontId="40" fillId="10" borderId="3" xfId="0" applyFont="1" applyFill="1" applyBorder="1" applyAlignment="1" applyProtection="1">
      <alignment horizontal="justify" vertical="center"/>
      <protection locked="0"/>
    </xf>
    <xf numFmtId="0" fontId="41" fillId="10" borderId="3" xfId="0" applyFont="1" applyFill="1" applyBorder="1" applyAlignment="1" applyProtection="1">
      <alignment horizontal="center" vertical="center" wrapText="1"/>
      <protection locked="0"/>
    </xf>
    <xf numFmtId="0" fontId="1" fillId="10" borderId="3" xfId="0" applyFont="1" applyFill="1" applyBorder="1" applyAlignment="1" applyProtection="1">
      <alignment horizontal="center" vertical="center" wrapText="1"/>
      <protection locked="0"/>
    </xf>
    <xf numFmtId="0" fontId="1" fillId="10" borderId="3" xfId="0" applyFont="1" applyFill="1" applyBorder="1" applyAlignment="1">
      <alignment horizontal="center" vertical="center" wrapText="1"/>
    </xf>
    <xf numFmtId="0" fontId="13" fillId="10" borderId="3" xfId="0" applyFont="1" applyFill="1" applyBorder="1" applyAlignment="1">
      <alignment horizontal="center" vertical="center" wrapText="1"/>
    </xf>
    <xf numFmtId="0" fontId="13" fillId="10" borderId="3" xfId="0" applyFont="1" applyFill="1" applyBorder="1" applyAlignment="1" applyProtection="1">
      <alignment horizontal="center" vertical="center" wrapText="1"/>
      <protection locked="0"/>
    </xf>
    <xf numFmtId="0" fontId="72" fillId="10" borderId="71" xfId="0" applyFont="1" applyFill="1" applyBorder="1" applyAlignment="1" applyProtection="1">
      <alignment horizontal="justify" vertical="top" wrapText="1"/>
      <protection locked="0"/>
    </xf>
    <xf numFmtId="0" fontId="39" fillId="10" borderId="71" xfId="0" applyFont="1" applyFill="1" applyBorder="1" applyAlignment="1" applyProtection="1">
      <alignment vertical="center" wrapText="1"/>
      <protection locked="0"/>
    </xf>
    <xf numFmtId="0" fontId="75" fillId="10" borderId="0" xfId="0" applyFont="1" applyFill="1" applyAlignment="1">
      <alignment vertical="center" wrapText="1"/>
    </xf>
    <xf numFmtId="0" fontId="40" fillId="10" borderId="71" xfId="0" applyFont="1" applyFill="1" applyBorder="1" applyAlignment="1" applyProtection="1">
      <alignment horizontal="justify" vertical="center"/>
      <protection locked="0"/>
    </xf>
    <xf numFmtId="0" fontId="41" fillId="10" borderId="71" xfId="0" applyFont="1" applyFill="1" applyBorder="1" applyAlignment="1" applyProtection="1">
      <alignment horizontal="center" vertical="center" wrapText="1"/>
      <protection locked="0"/>
    </xf>
    <xf numFmtId="0" fontId="13" fillId="10" borderId="71" xfId="0" applyFont="1" applyFill="1" applyBorder="1" applyAlignment="1" applyProtection="1">
      <alignment horizontal="center" vertical="center" wrapText="1"/>
      <protection locked="0"/>
    </xf>
    <xf numFmtId="0" fontId="39" fillId="10" borderId="71" xfId="0" applyFont="1" applyFill="1" applyBorder="1" applyAlignment="1" applyProtection="1">
      <alignment horizontal="justify" vertical="top" wrapText="1"/>
      <protection locked="0"/>
    </xf>
    <xf numFmtId="0" fontId="14" fillId="10" borderId="71" xfId="0" applyFont="1" applyFill="1" applyBorder="1" applyAlignment="1" applyProtection="1">
      <alignment horizontal="justify" vertical="center" wrapText="1"/>
      <protection locked="0"/>
    </xf>
    <xf numFmtId="0" fontId="39" fillId="10" borderId="63" xfId="0" applyFont="1" applyFill="1" applyBorder="1" applyAlignment="1" applyProtection="1">
      <alignment horizontal="justify" vertical="top" wrapText="1"/>
      <protection locked="0"/>
    </xf>
    <xf numFmtId="0" fontId="39" fillId="10" borderId="63" xfId="0" applyFont="1" applyFill="1" applyBorder="1" applyAlignment="1" applyProtection="1">
      <alignment vertical="center" wrapText="1"/>
      <protection locked="0"/>
    </xf>
    <xf numFmtId="0" fontId="14" fillId="10" borderId="63" xfId="0" applyFont="1" applyFill="1" applyBorder="1" applyAlignment="1" applyProtection="1">
      <alignment horizontal="justify" vertical="center" wrapText="1"/>
      <protection locked="0"/>
    </xf>
    <xf numFmtId="0" fontId="40" fillId="10" borderId="63" xfId="0" applyFont="1" applyFill="1" applyBorder="1" applyAlignment="1" applyProtection="1">
      <alignment horizontal="justify" vertical="center"/>
      <protection locked="0"/>
    </xf>
    <xf numFmtId="0" fontId="1" fillId="10" borderId="63" xfId="0" applyFont="1" applyFill="1" applyBorder="1" applyAlignment="1" applyProtection="1">
      <alignment vertical="center" wrapText="1"/>
      <protection locked="0"/>
    </xf>
    <xf numFmtId="0" fontId="13" fillId="10" borderId="63" xfId="0" applyFont="1" applyFill="1" applyBorder="1" applyAlignment="1" applyProtection="1">
      <alignment horizontal="center" vertical="center" wrapText="1"/>
      <protection locked="0"/>
    </xf>
    <xf numFmtId="0" fontId="39" fillId="10" borderId="3" xfId="0" applyFont="1" applyFill="1" applyBorder="1" applyAlignment="1" applyProtection="1">
      <alignment horizontal="center" vertical="center" wrapText="1"/>
      <protection locked="0"/>
    </xf>
    <xf numFmtId="0" fontId="72" fillId="10" borderId="3" xfId="0" applyFont="1" applyFill="1" applyBorder="1" applyAlignment="1" applyProtection="1">
      <alignment vertical="center" wrapText="1"/>
      <protection locked="0"/>
    </xf>
    <xf numFmtId="0" fontId="72" fillId="10" borderId="3" xfId="0" applyFont="1" applyFill="1" applyBorder="1" applyAlignment="1" applyProtection="1">
      <alignment horizontal="justify" vertical="center" wrapText="1"/>
      <protection locked="0"/>
    </xf>
    <xf numFmtId="0" fontId="39" fillId="10" borderId="71" xfId="0" applyFont="1" applyFill="1" applyBorder="1" applyAlignment="1" applyProtection="1">
      <alignment horizontal="center" vertical="center" wrapText="1"/>
      <protection locked="0"/>
    </xf>
    <xf numFmtId="0" fontId="72" fillId="10" borderId="71" xfId="0" applyFont="1" applyFill="1" applyBorder="1" applyAlignment="1" applyProtection="1">
      <alignment vertical="center" wrapText="1"/>
      <protection locked="0"/>
    </xf>
    <xf numFmtId="0" fontId="72" fillId="10" borderId="71" xfId="0" applyFont="1" applyFill="1" applyBorder="1" applyAlignment="1" applyProtection="1">
      <alignment horizontal="justify" vertical="center" wrapText="1"/>
      <protection locked="0"/>
    </xf>
    <xf numFmtId="0" fontId="14" fillId="10" borderId="63" xfId="0" applyFont="1" applyFill="1" applyBorder="1" applyAlignment="1" applyProtection="1">
      <alignment horizontal="justify" vertical="center"/>
      <protection locked="0"/>
    </xf>
    <xf numFmtId="0" fontId="99" fillId="10" borderId="3" xfId="0" applyFont="1" applyFill="1" applyBorder="1" applyAlignment="1" applyProtection="1">
      <alignment horizontal="justify" vertical="center"/>
      <protection locked="0"/>
    </xf>
    <xf numFmtId="0" fontId="72" fillId="0" borderId="71" xfId="0" applyFont="1" applyBorder="1" applyAlignment="1" applyProtection="1">
      <alignment vertical="center" wrapText="1"/>
      <protection locked="0"/>
    </xf>
    <xf numFmtId="0" fontId="72" fillId="0" borderId="7" xfId="0" applyFont="1" applyBorder="1" applyAlignment="1" applyProtection="1">
      <alignment vertical="center" wrapText="1"/>
      <protection locked="0"/>
    </xf>
    <xf numFmtId="0" fontId="72" fillId="0" borderId="7" xfId="0" applyFont="1" applyBorder="1" applyAlignment="1" applyProtection="1">
      <alignment horizontal="justify" vertical="center"/>
      <protection locked="0"/>
    </xf>
    <xf numFmtId="0" fontId="72" fillId="0" borderId="71" xfId="0" applyFont="1" applyBorder="1" applyAlignment="1" applyProtection="1">
      <alignment horizontal="justify" vertical="center"/>
      <protection locked="0"/>
    </xf>
    <xf numFmtId="0" fontId="77" fillId="0" borderId="71" xfId="0" applyFont="1" applyBorder="1" applyAlignment="1" applyProtection="1">
      <alignment horizontal="justify" vertical="top" wrapText="1"/>
      <protection locked="0"/>
    </xf>
    <xf numFmtId="0" fontId="77" fillId="0" borderId="71" xfId="0" applyFont="1" applyBorder="1" applyAlignment="1" applyProtection="1">
      <alignment horizontal="left" vertical="center" wrapText="1"/>
      <protection locked="0"/>
    </xf>
    <xf numFmtId="0" fontId="99" fillId="0" borderId="7" xfId="0" applyFont="1" applyBorder="1" applyAlignment="1" applyProtection="1">
      <alignment horizontal="justify" vertical="top"/>
      <protection locked="0"/>
    </xf>
    <xf numFmtId="0" fontId="99" fillId="0" borderId="3" xfId="0" applyFont="1" applyBorder="1" applyAlignment="1" applyProtection="1">
      <alignment horizontal="justify" vertical="top"/>
      <protection locked="0"/>
    </xf>
    <xf numFmtId="0" fontId="72" fillId="0" borderId="71" xfId="0" applyFont="1" applyBorder="1" applyAlignment="1" applyProtection="1">
      <alignment horizontal="justify" vertical="center" wrapText="1"/>
      <protection locked="0"/>
    </xf>
    <xf numFmtId="0" fontId="72" fillId="0" borderId="71" xfId="0" applyFont="1" applyBorder="1" applyAlignment="1" applyProtection="1">
      <alignment horizontal="justify" vertical="top" wrapText="1"/>
      <protection locked="0"/>
    </xf>
    <xf numFmtId="0" fontId="77" fillId="0" borderId="3" xfId="0" applyFont="1" applyBorder="1" applyAlignment="1" applyProtection="1">
      <alignment horizontal="left" vertical="center" wrapText="1"/>
      <protection locked="0"/>
    </xf>
    <xf numFmtId="0" fontId="95" fillId="0" borderId="3" xfId="0" applyFont="1" applyBorder="1" applyAlignment="1" applyProtection="1">
      <alignment horizontal="left" vertical="top" wrapText="1"/>
      <protection locked="0"/>
    </xf>
    <xf numFmtId="0" fontId="95" fillId="0" borderId="71" xfId="0" applyFont="1" applyBorder="1" applyAlignment="1" applyProtection="1">
      <alignment horizontal="left" vertical="top" wrapText="1"/>
      <protection locked="0"/>
    </xf>
    <xf numFmtId="0" fontId="69" fillId="0" borderId="3" xfId="0" applyFont="1" applyBorder="1" applyAlignment="1" applyProtection="1">
      <alignment horizontal="left" vertical="center" wrapText="1"/>
      <protection locked="0"/>
    </xf>
    <xf numFmtId="0" fontId="69" fillId="0" borderId="0" xfId="0" applyFont="1" applyAlignment="1">
      <alignment horizontal="left" vertical="center" wrapText="1"/>
    </xf>
    <xf numFmtId="0" fontId="77" fillId="0" borderId="3" xfId="0" applyFont="1" applyBorder="1" applyAlignment="1" applyProtection="1">
      <alignment horizontal="justify" vertical="center"/>
      <protection locked="0"/>
    </xf>
    <xf numFmtId="0" fontId="77" fillId="0" borderId="7" xfId="0" applyFont="1" applyBorder="1" applyAlignment="1" applyProtection="1">
      <alignment horizontal="justify" vertical="center"/>
      <protection locked="0"/>
    </xf>
    <xf numFmtId="0" fontId="69" fillId="0" borderId="71" xfId="0" applyFont="1" applyBorder="1" applyAlignment="1">
      <alignment vertical="center" wrapText="1"/>
    </xf>
    <xf numFmtId="0" fontId="69" fillId="0" borderId="3" xfId="0" applyFont="1" applyBorder="1" applyAlignment="1">
      <alignment vertical="center" wrapText="1"/>
    </xf>
    <xf numFmtId="14" fontId="69" fillId="0" borderId="3" xfId="0" applyNumberFormat="1" applyFont="1" applyBorder="1" applyAlignment="1">
      <alignment vertical="center" wrapText="1"/>
    </xf>
    <xf numFmtId="0" fontId="77" fillId="0" borderId="71" xfId="0" applyFont="1" applyBorder="1" applyAlignment="1">
      <alignment wrapText="1"/>
    </xf>
    <xf numFmtId="0" fontId="77" fillId="0" borderId="7" xfId="0" applyFont="1" applyBorder="1" applyAlignment="1">
      <alignment wrapText="1"/>
    </xf>
    <xf numFmtId="0" fontId="77" fillId="10" borderId="71" xfId="0" applyFont="1" applyFill="1" applyBorder="1" applyAlignment="1">
      <alignment wrapText="1"/>
    </xf>
    <xf numFmtId="0" fontId="76" fillId="0" borderId="71" xfId="0" applyFont="1" applyBorder="1" applyAlignment="1">
      <alignment wrapText="1"/>
    </xf>
    <xf numFmtId="0" fontId="76" fillId="0" borderId="7" xfId="0" applyFont="1" applyBorder="1" applyAlignment="1">
      <alignment wrapText="1"/>
    </xf>
    <xf numFmtId="0" fontId="76" fillId="24" borderId="71" xfId="0" applyFont="1" applyFill="1" applyBorder="1" applyAlignment="1">
      <alignment vertical="center" wrapText="1"/>
    </xf>
    <xf numFmtId="0" fontId="76" fillId="0" borderId="71" xfId="0" applyFont="1" applyBorder="1" applyAlignment="1">
      <alignment vertical="center" wrapText="1"/>
    </xf>
    <xf numFmtId="0" fontId="76" fillId="0" borderId="7" xfId="0" applyFont="1" applyBorder="1" applyAlignment="1">
      <alignment vertical="center" wrapText="1"/>
    </xf>
    <xf numFmtId="0" fontId="74" fillId="0" borderId="48" xfId="0" applyFont="1" applyBorder="1" applyAlignment="1">
      <alignment vertical="top" wrapText="1"/>
    </xf>
    <xf numFmtId="0" fontId="0" fillId="0" borderId="48" xfId="0" applyBorder="1" applyAlignment="1">
      <alignment vertical="center" wrapText="1"/>
    </xf>
    <xf numFmtId="0" fontId="0" fillId="0" borderId="32" xfId="0" applyBorder="1" applyAlignment="1">
      <alignment vertical="center" wrapText="1"/>
    </xf>
    <xf numFmtId="0" fontId="0" fillId="0" borderId="84" xfId="0" applyBorder="1" applyAlignment="1">
      <alignment vertical="center" wrapText="1"/>
    </xf>
    <xf numFmtId="0" fontId="0" fillId="0" borderId="70" xfId="0" applyBorder="1" applyAlignment="1">
      <alignment vertical="center" wrapText="1"/>
    </xf>
    <xf numFmtId="0" fontId="39" fillId="0" borderId="86" xfId="0" applyFont="1" applyBorder="1" applyAlignment="1" applyProtection="1">
      <alignment horizontal="justify" vertical="top" wrapText="1"/>
      <protection locked="0"/>
    </xf>
    <xf numFmtId="0" fontId="39" fillId="0" borderId="86" xfId="0" applyFont="1" applyBorder="1" applyAlignment="1" applyProtection="1">
      <alignment horizontal="justify" vertical="center" wrapText="1"/>
      <protection locked="0"/>
    </xf>
    <xf numFmtId="0" fontId="40" fillId="0" borderId="86" xfId="0" applyFont="1" applyBorder="1" applyAlignment="1" applyProtection="1">
      <alignment horizontal="justify" vertical="center"/>
      <protection locked="0"/>
    </xf>
    <xf numFmtId="0" fontId="41" fillId="0" borderId="86" xfId="0" applyFont="1" applyBorder="1" applyAlignment="1" applyProtection="1">
      <alignment vertical="center" wrapText="1"/>
      <protection locked="0"/>
    </xf>
    <xf numFmtId="0" fontId="1" fillId="0" borderId="86" xfId="0" applyFont="1" applyBorder="1" applyAlignment="1" applyProtection="1">
      <alignment horizontal="center" vertical="center" wrapText="1"/>
      <protection locked="0"/>
    </xf>
    <xf numFmtId="0" fontId="1" fillId="0" borderId="86" xfId="0" applyFont="1" applyBorder="1" applyAlignment="1">
      <alignment horizontal="center" vertical="center" wrapText="1"/>
    </xf>
    <xf numFmtId="0" fontId="13" fillId="0" borderId="86" xfId="0" applyFont="1" applyBorder="1" applyAlignment="1">
      <alignment horizontal="center" vertical="center" wrapText="1"/>
    </xf>
    <xf numFmtId="0" fontId="13" fillId="0" borderId="86" xfId="0" applyFont="1" applyBorder="1" applyAlignment="1" applyProtection="1">
      <alignment horizontal="center" vertical="center" wrapText="1"/>
      <protection locked="0"/>
    </xf>
    <xf numFmtId="0" fontId="0" fillId="0" borderId="86" xfId="0" applyBorder="1" applyAlignment="1">
      <alignment vertical="center" wrapText="1"/>
    </xf>
    <xf numFmtId="14" fontId="0" fillId="0" borderId="86" xfId="0" applyNumberFormat="1" applyBorder="1" applyAlignment="1">
      <alignment vertical="center" wrapText="1"/>
    </xf>
    <xf numFmtId="14" fontId="0" fillId="0" borderId="86" xfId="0" applyNumberFormat="1" applyBorder="1" applyAlignment="1">
      <alignment vertical="center"/>
    </xf>
    <xf numFmtId="0" fontId="39" fillId="0" borderId="91" xfId="0" applyFont="1" applyBorder="1" applyAlignment="1" applyProtection="1">
      <alignment horizontal="justify" vertical="top" wrapText="1"/>
      <protection locked="0"/>
    </xf>
    <xf numFmtId="0" fontId="39" fillId="0" borderId="91" xfId="0" applyFont="1" applyBorder="1" applyAlignment="1" applyProtection="1">
      <alignment vertical="center" wrapText="1"/>
      <protection locked="0"/>
    </xf>
    <xf numFmtId="0" fontId="14" fillId="0" borderId="91" xfId="0" applyFont="1" applyBorder="1" applyAlignment="1" applyProtection="1">
      <alignment horizontal="justify" vertical="center" wrapText="1"/>
      <protection locked="0"/>
    </xf>
    <xf numFmtId="0" fontId="14" fillId="0" borderId="91" xfId="0" applyFont="1" applyBorder="1" applyAlignment="1" applyProtection="1">
      <alignment horizontal="justify" vertical="center"/>
      <protection locked="0"/>
    </xf>
    <xf numFmtId="0" fontId="1" fillId="0" borderId="91" xfId="0" applyFont="1" applyBorder="1" applyAlignment="1" applyProtection="1">
      <alignment vertical="center" wrapText="1"/>
      <protection locked="0"/>
    </xf>
    <xf numFmtId="0" fontId="1" fillId="0" borderId="91" xfId="0" applyFont="1" applyBorder="1" applyAlignment="1" applyProtection="1">
      <alignment horizontal="center" vertical="center" wrapText="1"/>
      <protection locked="0"/>
    </xf>
    <xf numFmtId="0" fontId="1" fillId="0" borderId="91" xfId="0" applyFont="1" applyBorder="1" applyAlignment="1">
      <alignment horizontal="center" vertical="center" wrapText="1"/>
    </xf>
    <xf numFmtId="0" fontId="13" fillId="0" borderId="91" xfId="0" applyFont="1" applyBorder="1" applyAlignment="1">
      <alignment horizontal="center" vertical="center" wrapText="1"/>
    </xf>
    <xf numFmtId="0" fontId="13" fillId="0" borderId="91" xfId="0" applyFont="1" applyBorder="1" applyAlignment="1" applyProtection="1">
      <alignment horizontal="center" vertical="center" wrapText="1"/>
      <protection locked="0"/>
    </xf>
    <xf numFmtId="0" fontId="0" fillId="0" borderId="91" xfId="0" applyBorder="1" applyAlignment="1">
      <alignment vertical="center" wrapText="1"/>
    </xf>
    <xf numFmtId="14" fontId="0" fillId="0" borderId="91" xfId="0" applyNumberFormat="1" applyBorder="1" applyAlignment="1">
      <alignment vertical="center" wrapText="1"/>
    </xf>
    <xf numFmtId="0" fontId="10" fillId="10" borderId="3" xfId="0" applyFont="1" applyFill="1" applyBorder="1" applyAlignment="1">
      <alignment horizontal="justify" vertical="top" wrapText="1"/>
    </xf>
    <xf numFmtId="0" fontId="1" fillId="10" borderId="0" xfId="0" applyFont="1" applyFill="1" applyAlignment="1">
      <alignment horizontal="justify" vertical="top" wrapText="1"/>
    </xf>
    <xf numFmtId="0" fontId="10" fillId="10" borderId="71" xfId="0" applyFont="1" applyFill="1" applyBorder="1" applyAlignment="1">
      <alignment horizontal="justify" vertical="top" wrapText="1"/>
    </xf>
    <xf numFmtId="0" fontId="104" fillId="0" borderId="81" xfId="0" applyFont="1" applyBorder="1" applyAlignment="1">
      <alignment horizontal="justify" vertical="top" wrapText="1"/>
    </xf>
    <xf numFmtId="0" fontId="104" fillId="0" borderId="82" xfId="0" applyFont="1" applyBorder="1" applyAlignment="1">
      <alignment horizontal="justify" vertical="top" wrapText="1"/>
    </xf>
    <xf numFmtId="0" fontId="0" fillId="0" borderId="53" xfId="0" applyBorder="1" applyAlignment="1">
      <alignment horizontal="justify" vertical="top" wrapText="1"/>
    </xf>
    <xf numFmtId="0" fontId="0" fillId="0" borderId="54" xfId="0" applyBorder="1" applyAlignment="1">
      <alignment horizontal="justify" vertical="top" wrapText="1"/>
    </xf>
    <xf numFmtId="0" fontId="0" fillId="0" borderId="48" xfId="0" applyBorder="1" applyAlignment="1">
      <alignment horizontal="justify" vertical="top" wrapText="1"/>
    </xf>
    <xf numFmtId="0" fontId="108" fillId="0" borderId="71" xfId="0" applyFont="1" applyBorder="1" applyAlignment="1" applyProtection="1">
      <alignment horizontal="justify" vertical="top" wrapText="1"/>
      <protection locked="0"/>
    </xf>
    <xf numFmtId="0" fontId="108" fillId="0" borderId="71" xfId="0" applyFont="1" applyBorder="1" applyAlignment="1" applyProtection="1">
      <alignment horizontal="justify" vertical="center" wrapText="1"/>
      <protection locked="0"/>
    </xf>
    <xf numFmtId="0" fontId="108" fillId="0" borderId="63" xfId="0" applyFont="1" applyBorder="1" applyAlignment="1" applyProtection="1">
      <alignment horizontal="justify" vertical="center" wrapText="1"/>
      <protection locked="0"/>
    </xf>
    <xf numFmtId="0" fontId="41" fillId="0" borderId="63" xfId="0" applyFont="1" applyBorder="1" applyAlignment="1" applyProtection="1">
      <alignment horizontal="justify" vertical="center"/>
      <protection locked="0"/>
    </xf>
    <xf numFmtId="0" fontId="109" fillId="0" borderId="83" xfId="0" applyFont="1" applyBorder="1" applyAlignment="1">
      <alignment horizontal="justify" vertical="top" wrapText="1"/>
    </xf>
    <xf numFmtId="0" fontId="77" fillId="0" borderId="71" xfId="0" applyFont="1" applyBorder="1" applyAlignment="1">
      <alignment vertical="center" wrapText="1"/>
    </xf>
    <xf numFmtId="0" fontId="77" fillId="10" borderId="3" xfId="0" applyFont="1" applyFill="1" applyBorder="1" applyAlignment="1" applyProtection="1">
      <alignment horizontal="left" vertical="center" wrapText="1"/>
      <protection locked="0"/>
    </xf>
    <xf numFmtId="0" fontId="77" fillId="10" borderId="71" xfId="0" applyFont="1" applyFill="1" applyBorder="1" applyAlignment="1" applyProtection="1">
      <alignment horizontal="left" vertical="center" wrapText="1"/>
      <protection locked="0"/>
    </xf>
    <xf numFmtId="0" fontId="95" fillId="0" borderId="7" xfId="0" applyFont="1" applyBorder="1" applyAlignment="1" applyProtection="1">
      <alignment horizontal="left" vertical="center" wrapText="1"/>
      <protection locked="0"/>
    </xf>
    <xf numFmtId="0" fontId="95" fillId="0" borderId="71" xfId="0" applyFont="1" applyBorder="1" applyAlignment="1" applyProtection="1">
      <alignment horizontal="left" vertical="center" wrapText="1"/>
      <protection locked="0"/>
    </xf>
    <xf numFmtId="0" fontId="69" fillId="0" borderId="7" xfId="0" applyFont="1" applyBorder="1" applyAlignment="1">
      <alignment vertical="center" wrapText="1"/>
    </xf>
    <xf numFmtId="0" fontId="41" fillId="0" borderId="3" xfId="0" applyFont="1" applyBorder="1" applyAlignment="1" applyProtection="1">
      <alignment horizontal="left" vertical="center" wrapText="1"/>
      <protection locked="0"/>
    </xf>
    <xf numFmtId="0" fontId="41" fillId="0" borderId="7" xfId="0" applyFont="1" applyBorder="1" applyAlignment="1" applyProtection="1">
      <alignment horizontal="justify" vertical="center" wrapText="1"/>
      <protection locked="0"/>
    </xf>
    <xf numFmtId="0" fontId="39" fillId="0" borderId="52" xfId="0" applyFont="1" applyBorder="1" applyAlignment="1" applyProtection="1">
      <alignment horizontal="center" vertical="center" wrapText="1"/>
      <protection locked="0"/>
    </xf>
    <xf numFmtId="0" fontId="39" fillId="0" borderId="41" xfId="0" applyFont="1" applyBorder="1" applyAlignment="1" applyProtection="1">
      <alignment horizontal="center" vertical="center" wrapText="1"/>
      <protection locked="0"/>
    </xf>
    <xf numFmtId="0" fontId="39" fillId="0" borderId="52" xfId="0" applyFont="1" applyBorder="1" applyAlignment="1" applyProtection="1">
      <alignment horizontal="left" vertical="center" wrapText="1"/>
      <protection locked="0"/>
    </xf>
    <xf numFmtId="0" fontId="39" fillId="0" borderId="7" xfId="0" applyFont="1" applyBorder="1" applyAlignment="1" applyProtection="1">
      <alignment horizontal="left" vertical="center" wrapText="1"/>
      <protection locked="0"/>
    </xf>
    <xf numFmtId="0" fontId="41" fillId="0" borderId="52" xfId="0" applyFont="1" applyBorder="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1" fillId="0" borderId="52"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52" xfId="0" applyFont="1" applyBorder="1" applyAlignment="1">
      <alignment horizontal="center" vertical="center" wrapText="1"/>
    </xf>
    <xf numFmtId="0" fontId="1" fillId="0" borderId="7" xfId="0" applyFont="1" applyBorder="1" applyAlignment="1">
      <alignment horizontal="center" vertical="center" wrapText="1"/>
    </xf>
    <xf numFmtId="0" fontId="13" fillId="0" borderId="71"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86" xfId="0" applyFont="1" applyBorder="1" applyAlignment="1">
      <alignment horizontal="center" vertical="center" wrapText="1"/>
    </xf>
    <xf numFmtId="0" fontId="13" fillId="0" borderId="91" xfId="0" applyFont="1" applyBorder="1" applyAlignment="1">
      <alignment horizontal="center" vertical="center" wrapText="1"/>
    </xf>
    <xf numFmtId="0" fontId="13" fillId="0" borderId="52" xfId="0" applyFont="1" applyBorder="1" applyAlignment="1">
      <alignment horizontal="center" vertical="center" wrapText="1"/>
    </xf>
    <xf numFmtId="0" fontId="13" fillId="0" borderId="7" xfId="0" applyFont="1" applyBorder="1" applyAlignment="1">
      <alignment horizontal="center" vertical="center" wrapText="1"/>
    </xf>
    <xf numFmtId="0" fontId="1" fillId="0" borderId="71"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4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3" xfId="0" applyFont="1" applyBorder="1" applyAlignment="1">
      <alignment horizontal="center" vertical="center" wrapText="1"/>
    </xf>
    <xf numFmtId="0" fontId="1" fillId="0" borderId="37" xfId="0" applyFont="1" applyBorder="1" applyAlignment="1" applyProtection="1">
      <alignment horizontal="center" vertical="center" wrapText="1"/>
      <protection locked="0"/>
    </xf>
    <xf numFmtId="0" fontId="39" fillId="0" borderId="71" xfId="0" applyFont="1" applyBorder="1" applyAlignment="1" applyProtection="1">
      <alignment horizontal="center" vertical="center" wrapText="1"/>
      <protection locked="0"/>
    </xf>
    <xf numFmtId="0" fontId="1" fillId="0" borderId="71" xfId="0" applyFont="1" applyBorder="1" applyAlignment="1" applyProtection="1">
      <alignment horizontal="center" vertical="center" wrapText="1"/>
      <protection locked="0"/>
    </xf>
    <xf numFmtId="0" fontId="39" fillId="0" borderId="7" xfId="0" applyFont="1" applyBorder="1" applyAlignment="1" applyProtection="1">
      <alignment horizontal="center" vertical="center" wrapText="1"/>
      <protection locked="0"/>
    </xf>
    <xf numFmtId="0" fontId="1" fillId="0" borderId="86" xfId="0" applyFont="1" applyBorder="1" applyAlignment="1">
      <alignment horizontal="center" vertical="center" wrapText="1"/>
    </xf>
    <xf numFmtId="0" fontId="1" fillId="0" borderId="91" xfId="0" applyFont="1" applyBorder="1" applyAlignment="1">
      <alignment horizontal="center" vertical="center" wrapText="1"/>
    </xf>
    <xf numFmtId="0" fontId="13" fillId="0" borderId="78" xfId="0" applyFont="1" applyBorder="1" applyAlignment="1">
      <alignment horizontal="center" vertical="center" wrapText="1"/>
    </xf>
    <xf numFmtId="0" fontId="13" fillId="0" borderId="77" xfId="0" applyFont="1" applyBorder="1" applyAlignment="1">
      <alignment horizontal="center" vertical="center" wrapText="1"/>
    </xf>
    <xf numFmtId="0" fontId="39" fillId="0" borderId="11"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41" xfId="0" applyFont="1" applyBorder="1" applyAlignment="1" applyProtection="1">
      <alignment horizontal="center" vertical="center" wrapText="1"/>
      <protection locked="0"/>
    </xf>
    <xf numFmtId="0" fontId="1" fillId="0" borderId="11" xfId="0" applyFont="1" applyBorder="1" applyAlignment="1">
      <alignment horizontal="center" vertical="center" wrapText="1"/>
    </xf>
    <xf numFmtId="0" fontId="1" fillId="0" borderId="41" xfId="0" applyFont="1" applyBorder="1" applyAlignment="1">
      <alignment horizontal="center" vertical="center" wrapText="1"/>
    </xf>
    <xf numFmtId="0" fontId="39" fillId="0" borderId="3"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39" fillId="0" borderId="63" xfId="0" applyFont="1" applyBorder="1" applyAlignment="1" applyProtection="1">
      <alignment horizontal="center" vertical="center" wrapText="1"/>
      <protection locked="0"/>
    </xf>
    <xf numFmtId="0" fontId="1" fillId="0" borderId="63" xfId="0" applyFont="1" applyBorder="1" applyAlignment="1" applyProtection="1">
      <alignment horizontal="center" vertical="center" wrapText="1"/>
      <protection locked="0"/>
    </xf>
    <xf numFmtId="0" fontId="13" fillId="10" borderId="3" xfId="0" applyFont="1" applyFill="1" applyBorder="1" applyAlignment="1">
      <alignment horizontal="center" vertical="center" wrapText="1"/>
    </xf>
    <xf numFmtId="0" fontId="13" fillId="10" borderId="71" xfId="0" applyFont="1" applyFill="1" applyBorder="1" applyAlignment="1">
      <alignment horizontal="center" vertical="center" wrapText="1"/>
    </xf>
    <xf numFmtId="0" fontId="13" fillId="10" borderId="63" xfId="0" applyFont="1" applyFill="1" applyBorder="1" applyAlignment="1">
      <alignment horizontal="center" vertical="center" wrapText="1"/>
    </xf>
    <xf numFmtId="0" fontId="39" fillId="0" borderId="52" xfId="0" applyFont="1" applyBorder="1" applyAlignment="1" applyProtection="1">
      <alignment horizontal="justify" vertical="center" wrapText="1"/>
      <protection locked="0"/>
    </xf>
    <xf numFmtId="0" fontId="39" fillId="0" borderId="11" xfId="0" applyFont="1" applyBorder="1" applyAlignment="1" applyProtection="1">
      <alignment horizontal="justify" vertical="center" wrapText="1"/>
      <protection locked="0"/>
    </xf>
    <xf numFmtId="0" fontId="39" fillId="0" borderId="41" xfId="0" applyFont="1" applyBorder="1" applyAlignment="1" applyProtection="1">
      <alignment horizontal="justify" vertical="center" wrapText="1"/>
      <protection locked="0"/>
    </xf>
    <xf numFmtId="0" fontId="41" fillId="0" borderId="11" xfId="0" applyFont="1" applyBorder="1" applyAlignment="1" applyProtection="1">
      <alignment horizontal="center" vertical="center" wrapText="1"/>
      <protection locked="0"/>
    </xf>
    <xf numFmtId="0" fontId="41" fillId="0" borderId="41" xfId="0" applyFont="1" applyBorder="1" applyAlignment="1" applyProtection="1">
      <alignment horizontal="center" vertical="center" wrapText="1"/>
      <protection locked="0"/>
    </xf>
    <xf numFmtId="0" fontId="13" fillId="0" borderId="52"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41" xfId="0" applyFont="1" applyBorder="1" applyAlignment="1" applyProtection="1">
      <alignment horizontal="center" vertical="center" wrapText="1"/>
      <protection locked="0"/>
    </xf>
    <xf numFmtId="0" fontId="47" fillId="0" borderId="20" xfId="0" applyFont="1" applyBorder="1" applyAlignment="1">
      <alignment horizontal="right" vertical="center" wrapText="1"/>
    </xf>
    <xf numFmtId="0" fontId="47" fillId="0" borderId="0" xfId="0" applyFont="1" applyAlignment="1">
      <alignment horizontal="right" vertical="center" wrapText="1"/>
    </xf>
    <xf numFmtId="0" fontId="47" fillId="0" borderId="13" xfId="0" applyFont="1" applyBorder="1" applyAlignment="1">
      <alignment horizontal="right" vertical="center" wrapText="1"/>
    </xf>
    <xf numFmtId="0" fontId="47" fillId="0" borderId="29" xfId="0" applyFont="1" applyBorder="1" applyAlignment="1">
      <alignment horizontal="right" vertical="center" wrapText="1"/>
    </xf>
    <xf numFmtId="0" fontId="47" fillId="0" borderId="9" xfId="0" applyFont="1" applyBorder="1" applyAlignment="1">
      <alignment horizontal="right" vertical="center" wrapText="1"/>
    </xf>
    <xf numFmtId="0" fontId="47" fillId="0" borderId="19" xfId="0" applyFont="1" applyBorder="1" applyAlignment="1">
      <alignment horizontal="right" vertical="center" wrapText="1"/>
    </xf>
    <xf numFmtId="0" fontId="26" fillId="0" borderId="55" xfId="0" applyFont="1" applyBorder="1" applyAlignment="1">
      <alignment horizontal="center" vertical="center" wrapText="1"/>
    </xf>
    <xf numFmtId="0" fontId="26" fillId="0" borderId="56" xfId="0" applyFont="1" applyBorder="1" applyAlignment="1">
      <alignment horizontal="center" vertical="center" wrapText="1"/>
    </xf>
    <xf numFmtId="0" fontId="26" fillId="0" borderId="57"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0" xfId="0" applyFont="1" applyAlignment="1">
      <alignment horizontal="center" vertical="center" wrapText="1"/>
    </xf>
    <xf numFmtId="0" fontId="26" fillId="0" borderId="13" xfId="0" applyFont="1" applyBorder="1" applyAlignment="1">
      <alignment horizontal="center" vertical="center" wrapText="1"/>
    </xf>
    <xf numFmtId="0" fontId="12" fillId="13" borderId="71" xfId="0" applyFont="1" applyFill="1" applyBorder="1" applyAlignment="1">
      <alignment horizontal="center" vertical="center" wrapText="1"/>
    </xf>
    <xf numFmtId="0" fontId="12" fillId="13" borderId="52" xfId="0" applyFont="1" applyFill="1" applyBorder="1" applyAlignment="1">
      <alignment horizontal="center" vertical="center" wrapText="1"/>
    </xf>
    <xf numFmtId="0" fontId="12" fillId="13" borderId="55" xfId="0" applyFont="1" applyFill="1" applyBorder="1" applyAlignment="1">
      <alignment horizontal="center" vertical="center"/>
    </xf>
    <xf numFmtId="0" fontId="12" fillId="13" borderId="56" xfId="0" applyFont="1" applyFill="1" applyBorder="1" applyAlignment="1">
      <alignment horizontal="center" vertical="center"/>
    </xf>
    <xf numFmtId="0" fontId="12" fillId="13" borderId="57" xfId="0" applyFont="1" applyFill="1" applyBorder="1" applyAlignment="1">
      <alignment horizontal="center" vertical="center"/>
    </xf>
    <xf numFmtId="0" fontId="12" fillId="13" borderId="55" xfId="0" applyFont="1" applyFill="1" applyBorder="1" applyAlignment="1">
      <alignment horizontal="center" vertical="center" wrapText="1"/>
    </xf>
    <xf numFmtId="0" fontId="12" fillId="13" borderId="56" xfId="0" applyFont="1" applyFill="1" applyBorder="1" applyAlignment="1">
      <alignment horizontal="center" vertical="center" wrapText="1"/>
    </xf>
    <xf numFmtId="0" fontId="12" fillId="13" borderId="57" xfId="0" applyFont="1" applyFill="1" applyBorder="1" applyAlignment="1">
      <alignment horizontal="center" vertical="center" wrapText="1"/>
    </xf>
    <xf numFmtId="0" fontId="12" fillId="13" borderId="4" xfId="0" applyFont="1" applyFill="1" applyBorder="1" applyAlignment="1">
      <alignment horizontal="center" vertical="center"/>
    </xf>
    <xf numFmtId="0" fontId="12" fillId="13" borderId="3" xfId="0" applyFont="1" applyFill="1" applyBorder="1" applyAlignment="1">
      <alignment horizontal="center" vertical="center"/>
    </xf>
    <xf numFmtId="0" fontId="12" fillId="13" borderId="58" xfId="0" applyFont="1" applyFill="1" applyBorder="1" applyAlignment="1">
      <alignment horizontal="center" vertical="center"/>
    </xf>
    <xf numFmtId="0" fontId="12" fillId="13" borderId="52" xfId="0" applyFont="1" applyFill="1" applyBorder="1" applyAlignment="1">
      <alignment horizontal="center" vertical="center"/>
    </xf>
    <xf numFmtId="0" fontId="12" fillId="13" borderId="71" xfId="0" applyFont="1" applyFill="1" applyBorder="1" applyAlignment="1">
      <alignment horizontal="center" vertical="center"/>
    </xf>
    <xf numFmtId="0" fontId="39" fillId="0" borderId="37" xfId="0" applyFont="1" applyBorder="1" applyAlignment="1" applyProtection="1">
      <alignment horizontal="center" vertical="center" wrapText="1"/>
      <protection locked="0"/>
    </xf>
    <xf numFmtId="0" fontId="39" fillId="0" borderId="52" xfId="0" applyFont="1" applyBorder="1" applyAlignment="1" applyProtection="1">
      <alignment horizontal="justify" vertical="top" wrapText="1"/>
      <protection locked="0"/>
    </xf>
    <xf numFmtId="0" fontId="39" fillId="0" borderId="41" xfId="0" applyFont="1" applyBorder="1" applyAlignment="1" applyProtection="1">
      <alignment horizontal="justify" vertical="top" wrapText="1"/>
      <protection locked="0"/>
    </xf>
    <xf numFmtId="0" fontId="41" fillId="0" borderId="37" xfId="0" applyFont="1" applyBorder="1" applyAlignment="1" applyProtection="1">
      <alignment horizontal="justify" vertical="top" wrapText="1"/>
      <protection locked="0"/>
    </xf>
    <xf numFmtId="0" fontId="41" fillId="0" borderId="7" xfId="0" applyFont="1" applyBorder="1" applyAlignment="1" applyProtection="1">
      <alignment horizontal="justify" vertical="top" wrapText="1"/>
      <protection locked="0"/>
    </xf>
    <xf numFmtId="0" fontId="108" fillId="0" borderId="52" xfId="0" applyFont="1" applyBorder="1" applyAlignment="1" applyProtection="1">
      <alignment horizontal="justify" vertical="top" wrapText="1"/>
      <protection locked="0"/>
    </xf>
    <xf numFmtId="0" fontId="108" fillId="0" borderId="41" xfId="0" applyFont="1" applyBorder="1" applyAlignment="1" applyProtection="1">
      <alignment horizontal="justify" vertical="top" wrapText="1"/>
      <protection locked="0"/>
    </xf>
    <xf numFmtId="0" fontId="41" fillId="0" borderId="37" xfId="0" applyFont="1" applyBorder="1" applyAlignment="1" applyProtection="1">
      <alignment horizontal="center" vertical="center" wrapText="1"/>
      <protection locked="0"/>
    </xf>
    <xf numFmtId="0" fontId="1" fillId="0" borderId="37" xfId="0" applyFont="1" applyBorder="1" applyAlignment="1">
      <alignment horizontal="center" vertical="center" wrapText="1"/>
    </xf>
    <xf numFmtId="0" fontId="12" fillId="13" borderId="7" xfId="0" applyFont="1" applyFill="1" applyBorder="1" applyAlignment="1">
      <alignment horizontal="center" vertical="center"/>
    </xf>
    <xf numFmtId="0" fontId="12" fillId="13" borderId="7" xfId="0" applyFont="1" applyFill="1" applyBorder="1" applyAlignment="1">
      <alignment horizontal="center" vertical="center" wrapText="1"/>
    </xf>
    <xf numFmtId="0" fontId="13" fillId="0" borderId="4" xfId="0" applyFont="1" applyBorder="1" applyAlignment="1">
      <alignment horizontal="center" vertical="center"/>
    </xf>
    <xf numFmtId="0" fontId="13" fillId="0" borderId="64" xfId="0" applyFont="1" applyBorder="1" applyAlignment="1">
      <alignment horizontal="center" vertical="center"/>
    </xf>
    <xf numFmtId="0" fontId="13" fillId="0" borderId="66" xfId="0" applyFont="1" applyBorder="1" applyAlignment="1">
      <alignment horizontal="center" vertical="center"/>
    </xf>
    <xf numFmtId="0" fontId="66" fillId="0" borderId="3" xfId="0" applyFont="1" applyBorder="1" applyAlignment="1" applyProtection="1">
      <alignment horizontal="center" vertical="center" wrapText="1"/>
      <protection locked="0"/>
    </xf>
    <xf numFmtId="0" fontId="66" fillId="0" borderId="71" xfId="0" applyFont="1" applyBorder="1" applyAlignment="1" applyProtection="1">
      <alignment horizontal="center" vertical="center" wrapText="1"/>
      <protection locked="0"/>
    </xf>
    <xf numFmtId="0" fontId="66" fillId="0" borderId="63" xfId="0" applyFont="1" applyBorder="1" applyAlignment="1" applyProtection="1">
      <alignment horizontal="center" vertical="center" wrapText="1"/>
      <protection locked="0"/>
    </xf>
    <xf numFmtId="0" fontId="39" fillId="0" borderId="3" xfId="0" applyFont="1" applyBorder="1" applyAlignment="1">
      <alignment horizontal="justify" vertical="center" wrapText="1"/>
    </xf>
    <xf numFmtId="0" fontId="39" fillId="0" borderId="71" xfId="0" applyFont="1" applyBorder="1" applyAlignment="1">
      <alignment horizontal="justify" vertical="center" wrapText="1"/>
    </xf>
    <xf numFmtId="0" fontId="39" fillId="0" borderId="63" xfId="0" applyFont="1" applyBorder="1" applyAlignment="1">
      <alignment horizontal="justify" vertical="center" wrapText="1"/>
    </xf>
    <xf numFmtId="0" fontId="10" fillId="0" borderId="37" xfId="0" applyFont="1" applyBorder="1" applyAlignment="1">
      <alignment horizontal="justify" vertical="center" wrapText="1"/>
    </xf>
    <xf numFmtId="0" fontId="10" fillId="0" borderId="11" xfId="0" applyFont="1" applyBorder="1" applyAlignment="1">
      <alignment horizontal="justify" vertical="center"/>
    </xf>
    <xf numFmtId="0" fontId="10" fillId="0" borderId="41" xfId="0" applyFont="1" applyBorder="1" applyAlignment="1">
      <alignment horizontal="justify" vertical="center"/>
    </xf>
    <xf numFmtId="0" fontId="1" fillId="0" borderId="37" xfId="0" applyFont="1" applyBorder="1" applyAlignment="1">
      <alignment horizontal="justify" vertical="center" wrapText="1"/>
    </xf>
    <xf numFmtId="0" fontId="1" fillId="0" borderId="11" xfId="0" applyFont="1" applyBorder="1" applyAlignment="1">
      <alignment horizontal="justify" vertical="center"/>
    </xf>
    <xf numFmtId="0" fontId="1" fillId="0" borderId="41" xfId="0" applyFont="1" applyBorder="1" applyAlignment="1">
      <alignment horizontal="justify" vertical="center"/>
    </xf>
    <xf numFmtId="0" fontId="0" fillId="0" borderId="39" xfId="0" applyBorder="1" applyAlignment="1">
      <alignment horizontal="center"/>
    </xf>
    <xf numFmtId="0" fontId="0" fillId="0" borderId="40" xfId="0" applyBorder="1" applyAlignment="1">
      <alignment horizontal="center"/>
    </xf>
    <xf numFmtId="0" fontId="0" fillId="0" borderId="42" xfId="0" applyBorder="1" applyAlignment="1">
      <alignment horizontal="center"/>
    </xf>
    <xf numFmtId="0" fontId="39" fillId="0" borderId="3" xfId="0" applyFont="1" applyBorder="1" applyAlignment="1" applyProtection="1">
      <alignment horizontal="justify" vertical="center" wrapText="1"/>
      <protection locked="0"/>
    </xf>
    <xf numFmtId="0" fontId="39" fillId="0" borderId="71" xfId="0" applyFont="1" applyBorder="1" applyAlignment="1" applyProtection="1">
      <alignment horizontal="justify" vertical="center" wrapText="1"/>
      <protection locked="0"/>
    </xf>
    <xf numFmtId="0" fontId="39" fillId="0" borderId="63" xfId="0" applyFont="1" applyBorder="1" applyAlignment="1" applyProtection="1">
      <alignment horizontal="justify" vertical="center" wrapText="1"/>
      <protection locked="0"/>
    </xf>
    <xf numFmtId="0" fontId="39" fillId="0" borderId="71" xfId="0" applyFont="1" applyBorder="1" applyAlignment="1" applyProtection="1">
      <alignment horizontal="justify" vertical="top" wrapText="1"/>
      <protection locked="0"/>
    </xf>
    <xf numFmtId="0" fontId="39" fillId="0" borderId="63" xfId="0" applyFont="1" applyBorder="1" applyAlignment="1" applyProtection="1">
      <alignment horizontal="justify" vertical="top" wrapText="1"/>
      <protection locked="0"/>
    </xf>
    <xf numFmtId="0" fontId="13" fillId="0" borderId="33" xfId="0" applyFont="1" applyBorder="1" applyAlignment="1">
      <alignment horizontal="center" vertical="center"/>
    </xf>
    <xf numFmtId="0" fontId="66" fillId="0" borderId="7" xfId="0" applyFont="1" applyBorder="1" applyAlignment="1" applyProtection="1">
      <alignment horizontal="center" vertical="center" wrapText="1"/>
      <protection locked="0"/>
    </xf>
    <xf numFmtId="0" fontId="39" fillId="0" borderId="7" xfId="0" applyFont="1" applyBorder="1" applyAlignment="1">
      <alignment horizontal="center" vertical="center" wrapText="1"/>
    </xf>
    <xf numFmtId="0" fontId="39" fillId="0" borderId="71" xfId="0" applyFont="1" applyBorder="1" applyAlignment="1">
      <alignment horizontal="center" vertical="center" wrapText="1"/>
    </xf>
    <xf numFmtId="0" fontId="39" fillId="0" borderId="6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4" xfId="0" applyFont="1" applyBorder="1" applyAlignment="1">
      <alignment horizontal="center" vertical="center" wrapText="1"/>
    </xf>
    <xf numFmtId="0" fontId="13" fillId="0" borderId="66" xfId="0" applyFont="1" applyBorder="1" applyAlignment="1">
      <alignment horizontal="center" vertical="center" wrapText="1"/>
    </xf>
    <xf numFmtId="0" fontId="39" fillId="0" borderId="37" xfId="0" applyFont="1" applyBorder="1" applyAlignment="1">
      <alignment horizontal="justify" vertical="center" wrapText="1"/>
    </xf>
    <xf numFmtId="0" fontId="39" fillId="0" borderId="11" xfId="0" applyFont="1" applyBorder="1" applyAlignment="1">
      <alignment horizontal="justify" vertical="center" wrapText="1"/>
    </xf>
    <xf numFmtId="0" fontId="39" fillId="0" borderId="41" xfId="0" applyFont="1" applyBorder="1" applyAlignment="1">
      <alignment horizontal="justify" vertical="center" wrapText="1"/>
    </xf>
    <xf numFmtId="0" fontId="39" fillId="0" borderId="37" xfId="0" applyFont="1" applyBorder="1" applyAlignment="1" applyProtection="1">
      <alignment horizontal="justify" vertical="center" wrapText="1"/>
      <protection locked="0"/>
    </xf>
    <xf numFmtId="0" fontId="39" fillId="10" borderId="3" xfId="0" applyFont="1" applyFill="1" applyBorder="1" applyAlignment="1" applyProtection="1">
      <alignment horizontal="center" vertical="center" wrapText="1"/>
      <protection locked="0"/>
    </xf>
    <xf numFmtId="0" fontId="39" fillId="10" borderId="71" xfId="0" applyFont="1" applyFill="1" applyBorder="1" applyAlignment="1" applyProtection="1">
      <alignment horizontal="center" vertical="center" wrapText="1"/>
      <protection locked="0"/>
    </xf>
    <xf numFmtId="0" fontId="39" fillId="10" borderId="63" xfId="0" applyFont="1" applyFill="1" applyBorder="1" applyAlignment="1" applyProtection="1">
      <alignment horizontal="center" vertical="center" wrapText="1"/>
      <protection locked="0"/>
    </xf>
    <xf numFmtId="0" fontId="39" fillId="10" borderId="3" xfId="0" applyFont="1" applyFill="1" applyBorder="1" applyAlignment="1">
      <alignment horizontal="justify" vertical="center" wrapText="1"/>
    </xf>
    <xf numFmtId="0" fontId="39" fillId="10" borderId="71" xfId="0" applyFont="1" applyFill="1" applyBorder="1" applyAlignment="1">
      <alignment horizontal="justify" vertical="center" wrapText="1"/>
    </xf>
    <xf numFmtId="0" fontId="39" fillId="10" borderId="63" xfId="0" applyFont="1" applyFill="1" applyBorder="1" applyAlignment="1">
      <alignment horizontal="justify" vertical="center" wrapText="1"/>
    </xf>
    <xf numFmtId="0" fontId="72" fillId="10" borderId="3" xfId="0" applyFont="1" applyFill="1" applyBorder="1" applyAlignment="1" applyProtection="1">
      <alignment horizontal="justify" vertical="center" wrapText="1"/>
      <protection locked="0"/>
    </xf>
    <xf numFmtId="0" fontId="72" fillId="10" borderId="71" xfId="0" applyFont="1" applyFill="1" applyBorder="1" applyAlignment="1" applyProtection="1">
      <alignment horizontal="justify" vertical="center" wrapText="1"/>
      <protection locked="0"/>
    </xf>
    <xf numFmtId="0" fontId="72" fillId="10" borderId="63" xfId="0" applyFont="1" applyFill="1" applyBorder="1" applyAlignment="1" applyProtection="1">
      <alignment horizontal="justify" vertical="center" wrapText="1"/>
      <protection locked="0"/>
    </xf>
    <xf numFmtId="164" fontId="13" fillId="10" borderId="3" xfId="0" applyNumberFormat="1" applyFont="1" applyFill="1" applyBorder="1" applyAlignment="1">
      <alignment horizontal="center" vertical="center" wrapText="1"/>
    </xf>
    <xf numFmtId="164" fontId="13" fillId="10" borderId="71" xfId="0" applyNumberFormat="1" applyFont="1" applyFill="1" applyBorder="1" applyAlignment="1">
      <alignment horizontal="center" vertical="center" wrapText="1"/>
    </xf>
    <xf numFmtId="164" fontId="13" fillId="10" borderId="63" xfId="0" applyNumberFormat="1" applyFont="1" applyFill="1" applyBorder="1" applyAlignment="1">
      <alignment horizontal="center" vertical="center" wrapText="1"/>
    </xf>
    <xf numFmtId="0" fontId="72" fillId="10" borderId="3" xfId="0" applyFont="1" applyFill="1" applyBorder="1" applyAlignment="1">
      <alignment horizontal="justify" vertical="center" wrapText="1"/>
    </xf>
    <xf numFmtId="0" fontId="72" fillId="10" borderId="71" xfId="0" applyFont="1" applyFill="1" applyBorder="1" applyAlignment="1">
      <alignment horizontal="justify" vertical="center" wrapText="1"/>
    </xf>
    <xf numFmtId="0" fontId="72" fillId="10" borderId="63" xfId="0" applyFont="1" applyFill="1" applyBorder="1" applyAlignment="1">
      <alignment horizontal="justify" vertical="center" wrapText="1"/>
    </xf>
    <xf numFmtId="0" fontId="1" fillId="10" borderId="3" xfId="0" applyFont="1" applyFill="1" applyBorder="1" applyAlignment="1">
      <alignment horizontal="center" vertical="center" wrapText="1"/>
    </xf>
    <xf numFmtId="0" fontId="1" fillId="10" borderId="71" xfId="0" applyFont="1" applyFill="1" applyBorder="1" applyAlignment="1">
      <alignment horizontal="center" vertical="center" wrapText="1"/>
    </xf>
    <xf numFmtId="0" fontId="1" fillId="10" borderId="63" xfId="0" applyFont="1" applyFill="1" applyBorder="1" applyAlignment="1">
      <alignment horizontal="center" vertical="center" wrapText="1"/>
    </xf>
    <xf numFmtId="0" fontId="1" fillId="10" borderId="3" xfId="0" applyFont="1" applyFill="1" applyBorder="1" applyAlignment="1" applyProtection="1">
      <alignment horizontal="center" vertical="center" wrapText="1"/>
      <protection locked="0"/>
    </xf>
    <xf numFmtId="0" fontId="1" fillId="10" borderId="71" xfId="0" applyFont="1" applyFill="1" applyBorder="1" applyAlignment="1" applyProtection="1">
      <alignment horizontal="center" vertical="center" wrapText="1"/>
      <protection locked="0"/>
    </xf>
    <xf numFmtId="0" fontId="1" fillId="10" borderId="63" xfId="0" applyFont="1" applyFill="1" applyBorder="1" applyAlignment="1" applyProtection="1">
      <alignment horizontal="center" vertical="center" wrapText="1"/>
      <protection locked="0"/>
    </xf>
    <xf numFmtId="0" fontId="39" fillId="0" borderId="3" xfId="0" applyFont="1" applyBorder="1" applyAlignment="1">
      <alignment horizontal="center" vertical="center" wrapText="1"/>
    </xf>
    <xf numFmtId="0" fontId="13" fillId="0" borderId="7" xfId="0" applyFont="1" applyBorder="1" applyAlignment="1">
      <alignment horizontal="center" vertical="center"/>
    </xf>
    <xf numFmtId="0" fontId="13" fillId="0" borderId="71" xfId="0" applyFont="1" applyBorder="1" applyAlignment="1">
      <alignment horizontal="center" vertical="center"/>
    </xf>
    <xf numFmtId="0" fontId="13" fillId="0" borderId="52" xfId="0" applyFont="1" applyBorder="1" applyAlignment="1">
      <alignment horizontal="center" vertical="center"/>
    </xf>
    <xf numFmtId="0" fontId="66" fillId="0" borderId="52" xfId="0" applyFont="1" applyBorder="1" applyAlignment="1" applyProtection="1">
      <alignment horizontal="center" vertical="center" wrapText="1"/>
      <protection locked="0"/>
    </xf>
    <xf numFmtId="0" fontId="39" fillId="0" borderId="52" xfId="0" applyFont="1" applyBorder="1" applyAlignment="1">
      <alignment horizontal="center" vertical="center" wrapText="1"/>
    </xf>
    <xf numFmtId="0" fontId="13" fillId="0" borderId="58" xfId="0" applyFont="1" applyBorder="1" applyAlignment="1">
      <alignment horizontal="center" vertical="center"/>
    </xf>
    <xf numFmtId="0" fontId="101" fillId="0" borderId="37" xfId="0" applyFont="1" applyBorder="1" applyAlignment="1">
      <alignment horizontal="left" vertical="center" wrapText="1"/>
    </xf>
    <xf numFmtId="0" fontId="101" fillId="0" borderId="11" xfId="0" applyFont="1" applyBorder="1" applyAlignment="1">
      <alignment horizontal="left" vertical="center" wrapText="1"/>
    </xf>
    <xf numFmtId="0" fontId="101" fillId="0" borderId="41" xfId="0" applyFont="1" applyBorder="1" applyAlignment="1">
      <alignment horizontal="left" vertical="center" wrapText="1"/>
    </xf>
    <xf numFmtId="0" fontId="72" fillId="0" borderId="37" xfId="0" applyFont="1" applyBorder="1" applyAlignment="1" applyProtection="1">
      <alignment horizontal="left" vertical="top" wrapText="1"/>
      <protection locked="0"/>
    </xf>
    <xf numFmtId="0" fontId="72" fillId="0" borderId="11" xfId="0" applyFont="1" applyBorder="1" applyAlignment="1" applyProtection="1">
      <alignment horizontal="left" vertical="top" wrapText="1"/>
      <protection locked="0"/>
    </xf>
    <xf numFmtId="0" fontId="72" fillId="0" borderId="41" xfId="0" applyFont="1" applyBorder="1" applyAlignment="1" applyProtection="1">
      <alignment horizontal="left" vertical="top" wrapText="1"/>
      <protection locked="0"/>
    </xf>
    <xf numFmtId="0" fontId="99" fillId="0" borderId="37" xfId="0" applyFont="1" applyBorder="1" applyAlignment="1" applyProtection="1">
      <alignment horizontal="center" vertical="center" wrapText="1"/>
      <protection locked="0"/>
    </xf>
    <xf numFmtId="0" fontId="99" fillId="0" borderId="11" xfId="0" applyFont="1" applyBorder="1" applyAlignment="1" applyProtection="1">
      <alignment horizontal="center" vertical="center" wrapText="1"/>
      <protection locked="0"/>
    </xf>
    <xf numFmtId="0" fontId="99" fillId="0" borderId="41" xfId="0" applyFont="1" applyBorder="1" applyAlignment="1" applyProtection="1">
      <alignment horizontal="center" vertical="center" wrapText="1"/>
      <protection locked="0"/>
    </xf>
    <xf numFmtId="0" fontId="102" fillId="0" borderId="37" xfId="0" applyFont="1" applyBorder="1" applyAlignment="1" applyProtection="1">
      <alignment horizontal="center" vertical="center" wrapText="1"/>
      <protection locked="0"/>
    </xf>
    <xf numFmtId="0" fontId="102" fillId="0" borderId="11" xfId="0" applyFont="1" applyBorder="1" applyAlignment="1" applyProtection="1">
      <alignment horizontal="center" vertical="center" wrapText="1"/>
      <protection locked="0"/>
    </xf>
    <xf numFmtId="0" fontId="102" fillId="0" borderId="41" xfId="0" applyFont="1" applyBorder="1" applyAlignment="1" applyProtection="1">
      <alignment horizontal="center" vertical="center" wrapText="1"/>
      <protection locked="0"/>
    </xf>
    <xf numFmtId="0" fontId="101" fillId="0" borderId="37" xfId="0" applyFont="1" applyBorder="1" applyAlignment="1" applyProtection="1">
      <alignment horizontal="center" vertical="center" wrapText="1"/>
      <protection locked="0"/>
    </xf>
    <xf numFmtId="0" fontId="101" fillId="0" borderId="11" xfId="0" applyFont="1" applyBorder="1" applyAlignment="1" applyProtection="1">
      <alignment horizontal="center" vertical="center" wrapText="1"/>
      <protection locked="0"/>
    </xf>
    <xf numFmtId="0" fontId="101" fillId="0" borderId="41" xfId="0" applyFont="1" applyBorder="1" applyAlignment="1" applyProtection="1">
      <alignment horizontal="center" vertical="center" wrapText="1"/>
      <protection locked="0"/>
    </xf>
    <xf numFmtId="0" fontId="72" fillId="0" borderId="37" xfId="0" applyFont="1" applyBorder="1" applyAlignment="1" applyProtection="1">
      <alignment horizontal="center" vertical="center" wrapText="1"/>
      <protection locked="0"/>
    </xf>
    <xf numFmtId="0" fontId="72" fillId="0" borderId="11" xfId="0" applyFont="1" applyBorder="1" applyAlignment="1" applyProtection="1">
      <alignment horizontal="center" vertical="center" wrapText="1"/>
      <protection locked="0"/>
    </xf>
    <xf numFmtId="0" fontId="72" fillId="0" borderId="7" xfId="0" applyFont="1" applyBorder="1" applyAlignment="1" applyProtection="1">
      <alignment horizontal="center" vertical="center" wrapText="1"/>
      <protection locked="0"/>
    </xf>
    <xf numFmtId="0" fontId="13" fillId="0" borderId="50" xfId="0" applyFont="1" applyBorder="1" applyAlignment="1">
      <alignment horizontal="center" vertical="center"/>
    </xf>
    <xf numFmtId="0" fontId="13" fillId="0" borderId="68" xfId="0" applyFont="1" applyBorder="1" applyAlignment="1">
      <alignment horizontal="center" vertical="center"/>
    </xf>
    <xf numFmtId="0" fontId="13" fillId="0" borderId="51" xfId="0" applyFont="1" applyBorder="1" applyAlignment="1">
      <alignment horizontal="center" vertical="center"/>
    </xf>
    <xf numFmtId="0" fontId="66" fillId="0" borderId="4" xfId="0" applyFont="1" applyBorder="1" applyAlignment="1" applyProtection="1">
      <alignment horizontal="center" vertical="center" wrapText="1"/>
      <protection locked="0"/>
    </xf>
    <xf numFmtId="0" fontId="66" fillId="0" borderId="64" xfId="0" applyFont="1" applyBorder="1" applyAlignment="1" applyProtection="1">
      <alignment horizontal="center" vertical="center" wrapText="1"/>
      <protection locked="0"/>
    </xf>
    <xf numFmtId="0" fontId="66" fillId="0" borderId="66" xfId="0" applyFont="1" applyBorder="1" applyAlignment="1" applyProtection="1">
      <alignment horizontal="center" vertical="center" wrapText="1"/>
      <protection locked="0"/>
    </xf>
    <xf numFmtId="0" fontId="39" fillId="0" borderId="52" xfId="0" applyFont="1" applyBorder="1" applyAlignment="1">
      <alignment horizontal="justify" vertical="center" wrapText="1"/>
    </xf>
    <xf numFmtId="0" fontId="39" fillId="0" borderId="7" xfId="0" applyFont="1" applyBorder="1" applyAlignment="1" applyProtection="1">
      <alignment horizontal="justify" vertical="center" wrapText="1"/>
      <protection locked="0"/>
    </xf>
    <xf numFmtId="0" fontId="39" fillId="0" borderId="7" xfId="0" applyFont="1" applyBorder="1" applyAlignment="1">
      <alignment horizontal="justify" vertical="center" wrapText="1"/>
    </xf>
    <xf numFmtId="0" fontId="77" fillId="0" borderId="3" xfId="0" applyFont="1" applyBorder="1" applyAlignment="1">
      <alignment horizontal="justify" vertical="center" wrapText="1"/>
    </xf>
    <xf numFmtId="0" fontId="77" fillId="0" borderId="71" xfId="0" applyFont="1" applyBorder="1" applyAlignment="1">
      <alignment horizontal="justify" vertical="center" wrapText="1"/>
    </xf>
    <xf numFmtId="0" fontId="77" fillId="0" borderId="63" xfId="0" applyFont="1" applyBorder="1" applyAlignment="1">
      <alignment horizontal="justify" vertical="center" wrapText="1"/>
    </xf>
    <xf numFmtId="0" fontId="77" fillId="0" borderId="3" xfId="0" applyFont="1" applyBorder="1" applyAlignment="1" applyProtection="1">
      <alignment horizontal="justify" vertical="center" wrapText="1"/>
      <protection locked="0"/>
    </xf>
    <xf numFmtId="0" fontId="77" fillId="0" borderId="71" xfId="0" applyFont="1" applyBorder="1" applyAlignment="1" applyProtection="1">
      <alignment horizontal="justify" vertical="center" wrapText="1"/>
      <protection locked="0"/>
    </xf>
    <xf numFmtId="0" fontId="77" fillId="0" borderId="63" xfId="0" applyFont="1" applyBorder="1" applyAlignment="1" applyProtection="1">
      <alignment horizontal="justify" vertical="center" wrapText="1"/>
      <protection locked="0"/>
    </xf>
    <xf numFmtId="0" fontId="72" fillId="0" borderId="52" xfId="0" applyFont="1" applyBorder="1" applyAlignment="1" applyProtection="1">
      <alignment horizontal="left" vertical="center" wrapText="1"/>
      <protection locked="0"/>
    </xf>
    <xf numFmtId="0" fontId="72" fillId="0" borderId="7" xfId="0" applyFont="1" applyBorder="1" applyAlignment="1" applyProtection="1">
      <alignment horizontal="left" vertical="center" wrapText="1"/>
      <protection locked="0"/>
    </xf>
    <xf numFmtId="0" fontId="72" fillId="0" borderId="52" xfId="0" applyFont="1" applyBorder="1" applyAlignment="1" applyProtection="1">
      <alignment horizontal="center" vertical="center" wrapText="1"/>
      <protection locked="0"/>
    </xf>
    <xf numFmtId="0" fontId="72" fillId="0" borderId="71" xfId="0" applyFont="1" applyBorder="1" applyAlignment="1" applyProtection="1">
      <alignment horizontal="center" vertical="center" wrapText="1"/>
      <protection locked="0"/>
    </xf>
    <xf numFmtId="0" fontId="13" fillId="0" borderId="85" xfId="0" applyFont="1" applyBorder="1" applyAlignment="1">
      <alignment horizontal="center" vertical="center"/>
    </xf>
    <xf numFmtId="0" fontId="13" fillId="0" borderId="88" xfId="0" applyFont="1" applyBorder="1" applyAlignment="1">
      <alignment horizontal="center" vertical="center"/>
    </xf>
    <xf numFmtId="0" fontId="13" fillId="0" borderId="90" xfId="0" applyFont="1" applyBorder="1" applyAlignment="1">
      <alignment horizontal="center" vertical="center"/>
    </xf>
    <xf numFmtId="0" fontId="66" fillId="0" borderId="86" xfId="0" applyFont="1" applyBorder="1" applyAlignment="1" applyProtection="1">
      <alignment horizontal="center" vertical="center" wrapText="1"/>
      <protection locked="0"/>
    </xf>
    <xf numFmtId="0" fontId="66" fillId="0" borderId="91" xfId="0" applyFont="1" applyBorder="1" applyAlignment="1" applyProtection="1">
      <alignment horizontal="center" vertical="center" wrapText="1"/>
      <protection locked="0"/>
    </xf>
    <xf numFmtId="0" fontId="39" fillId="0" borderId="86"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86" xfId="0" applyFont="1" applyBorder="1" applyAlignment="1" applyProtection="1">
      <alignment horizontal="center" vertical="center" wrapText="1"/>
      <protection locked="0"/>
    </xf>
    <xf numFmtId="0" fontId="39" fillId="0" borderId="91" xfId="0" applyFont="1" applyBorder="1" applyAlignment="1" applyProtection="1">
      <alignment horizontal="center" vertical="center" wrapText="1"/>
      <protection locked="0"/>
    </xf>
    <xf numFmtId="0" fontId="1" fillId="0" borderId="86" xfId="0" applyFont="1" applyBorder="1" applyAlignment="1" applyProtection="1">
      <alignment horizontal="center" vertical="center" wrapText="1"/>
      <protection locked="0"/>
    </xf>
    <xf numFmtId="0" fontId="1" fillId="0" borderId="91" xfId="0" applyFont="1" applyBorder="1" applyAlignment="1" applyProtection="1">
      <alignment horizontal="center" vertical="center" wrapText="1"/>
      <protection locked="0"/>
    </xf>
    <xf numFmtId="0" fontId="13" fillId="0" borderId="11" xfId="0" applyFont="1" applyBorder="1" applyAlignment="1">
      <alignment horizontal="center" vertical="center"/>
    </xf>
    <xf numFmtId="0" fontId="13" fillId="0" borderId="41" xfId="0" applyFont="1" applyBorder="1" applyAlignment="1">
      <alignment horizontal="center" vertical="center"/>
    </xf>
    <xf numFmtId="0" fontId="66" fillId="0" borderId="11" xfId="0" applyFont="1" applyBorder="1" applyAlignment="1" applyProtection="1">
      <alignment horizontal="center" vertical="center" wrapText="1"/>
      <protection locked="0"/>
    </xf>
    <xf numFmtId="0" fontId="66" fillId="0" borderId="41" xfId="0" applyFont="1" applyBorder="1" applyAlignment="1" applyProtection="1">
      <alignment horizontal="center" vertical="center" wrapText="1"/>
      <protection locked="0"/>
    </xf>
    <xf numFmtId="0" fontId="39" fillId="0" borderId="11" xfId="0" applyFont="1" applyBorder="1" applyAlignment="1">
      <alignment horizontal="center" vertical="center" wrapText="1"/>
    </xf>
    <xf numFmtId="0" fontId="39" fillId="0" borderId="41" xfId="0" applyFont="1" applyBorder="1" applyAlignment="1">
      <alignment horizontal="center" vertical="center" wrapText="1"/>
    </xf>
    <xf numFmtId="0" fontId="13" fillId="0" borderId="3" xfId="0" applyFont="1" applyBorder="1" applyAlignment="1">
      <alignment horizontal="center" vertical="center"/>
    </xf>
    <xf numFmtId="0" fontId="13" fillId="0" borderId="63" xfId="0" applyFont="1" applyBorder="1" applyAlignment="1">
      <alignment horizontal="center" vertical="center"/>
    </xf>
    <xf numFmtId="0" fontId="10" fillId="0" borderId="3" xfId="0" applyFont="1" applyBorder="1" applyAlignment="1">
      <alignment horizontal="justify" vertical="center" wrapText="1"/>
    </xf>
    <xf numFmtId="0" fontId="10" fillId="0" borderId="71" xfId="0" applyFont="1" applyBorder="1" applyAlignment="1">
      <alignment horizontal="justify" vertical="center"/>
    </xf>
    <xf numFmtId="0" fontId="10" fillId="0" borderId="63" xfId="0" applyFont="1" applyBorder="1" applyAlignment="1">
      <alignment horizontal="justify" vertical="center"/>
    </xf>
    <xf numFmtId="0" fontId="1" fillId="0" borderId="3" xfId="0" applyFont="1" applyBorder="1" applyAlignment="1">
      <alignment horizontal="justify" vertical="center" wrapText="1"/>
    </xf>
    <xf numFmtId="0" fontId="1" fillId="0" borderId="71" xfId="0" applyFont="1" applyBorder="1" applyAlignment="1">
      <alignment horizontal="justify" vertical="center"/>
    </xf>
    <xf numFmtId="0" fontId="1" fillId="0" borderId="63" xfId="0" applyFont="1" applyBorder="1" applyAlignment="1">
      <alignment horizontal="justify" vertical="center"/>
    </xf>
    <xf numFmtId="0" fontId="0" fillId="0" borderId="5" xfId="0" applyBorder="1" applyAlignment="1">
      <alignment horizontal="center"/>
    </xf>
    <xf numFmtId="0" fontId="0" fillId="0" borderId="67" xfId="0" applyBorder="1" applyAlignment="1">
      <alignment horizontal="center"/>
    </xf>
    <xf numFmtId="0" fontId="0" fillId="0" borderId="6" xfId="0" applyBorder="1" applyAlignment="1">
      <alignment horizontal="center"/>
    </xf>
    <xf numFmtId="0" fontId="10" fillId="0" borderId="37" xfId="0" applyFont="1" applyBorder="1" applyAlignment="1">
      <alignment horizontal="left" vertical="center" wrapText="1"/>
    </xf>
    <xf numFmtId="0" fontId="10" fillId="0" borderId="11" xfId="0" applyFont="1" applyBorder="1" applyAlignment="1">
      <alignment horizontal="left" vertical="center"/>
    </xf>
    <xf numFmtId="0" fontId="10" fillId="0" borderId="41" xfId="0" applyFont="1" applyBorder="1" applyAlignment="1">
      <alignment horizontal="left" vertical="center"/>
    </xf>
    <xf numFmtId="0" fontId="10" fillId="0" borderId="11" xfId="0" applyFont="1" applyBorder="1" applyAlignment="1">
      <alignment horizontal="justify" vertical="center" wrapText="1"/>
    </xf>
    <xf numFmtId="0" fontId="1" fillId="10" borderId="11" xfId="0" applyFont="1" applyFill="1" applyBorder="1" applyAlignment="1">
      <alignment horizontal="justify" vertical="center" wrapText="1"/>
    </xf>
    <xf numFmtId="0" fontId="1" fillId="10" borderId="11" xfId="0" applyFont="1" applyFill="1" applyBorder="1" applyAlignment="1">
      <alignment horizontal="justify" vertical="center"/>
    </xf>
    <xf numFmtId="0" fontId="1" fillId="10" borderId="41" xfId="0" applyFont="1" applyFill="1" applyBorder="1" applyAlignment="1">
      <alignment horizontal="justify" vertical="center"/>
    </xf>
    <xf numFmtId="0" fontId="1" fillId="0" borderId="11" xfId="0" applyFont="1" applyBorder="1" applyAlignment="1">
      <alignment horizontal="justify" vertical="center" wrapText="1"/>
    </xf>
    <xf numFmtId="0" fontId="1" fillId="0" borderId="41" xfId="0" applyFont="1" applyBorder="1" applyAlignment="1">
      <alignment horizontal="justify" vertical="center" wrapText="1"/>
    </xf>
    <xf numFmtId="0" fontId="10" fillId="10" borderId="37" xfId="0" applyFont="1" applyFill="1" applyBorder="1" applyAlignment="1">
      <alignment horizontal="justify" vertical="center" wrapText="1"/>
    </xf>
    <xf numFmtId="0" fontId="10" fillId="10" borderId="11" xfId="0" applyFont="1" applyFill="1" applyBorder="1" applyAlignment="1">
      <alignment horizontal="justify" vertical="center"/>
    </xf>
    <xf numFmtId="0" fontId="10" fillId="10" borderId="41" xfId="0" applyFont="1" applyFill="1" applyBorder="1" applyAlignment="1">
      <alignment horizontal="justify" vertical="center"/>
    </xf>
    <xf numFmtId="0" fontId="1" fillId="10" borderId="37" xfId="0" applyFont="1" applyFill="1" applyBorder="1" applyAlignment="1">
      <alignment horizontal="justify" vertical="center" wrapText="1"/>
    </xf>
    <xf numFmtId="0" fontId="1" fillId="10" borderId="41" xfId="0" applyFont="1" applyFill="1" applyBorder="1" applyAlignment="1">
      <alignment horizontal="justify" vertical="center" wrapText="1"/>
    </xf>
    <xf numFmtId="0" fontId="10" fillId="0" borderId="7" xfId="0" applyFont="1" applyBorder="1" applyAlignment="1">
      <alignment horizontal="justify" vertical="center"/>
    </xf>
    <xf numFmtId="0" fontId="1" fillId="0" borderId="7" xfId="0" applyFont="1" applyBorder="1" applyAlignment="1">
      <alignment horizontal="justify" vertical="center"/>
    </xf>
    <xf numFmtId="0" fontId="0" fillId="0" borderId="11" xfId="0" applyBorder="1" applyAlignment="1">
      <alignment horizontal="center"/>
    </xf>
    <xf numFmtId="0" fontId="0" fillId="0" borderId="7" xfId="0" applyBorder="1" applyAlignment="1">
      <alignment horizontal="center"/>
    </xf>
    <xf numFmtId="0" fontId="97" fillId="10" borderId="37" xfId="0" applyFont="1" applyFill="1" applyBorder="1" applyAlignment="1">
      <alignment horizontal="justify" vertical="center" wrapText="1"/>
    </xf>
    <xf numFmtId="0" fontId="97" fillId="10" borderId="11" xfId="0" applyFont="1" applyFill="1" applyBorder="1" applyAlignment="1">
      <alignment horizontal="justify" vertical="center"/>
    </xf>
    <xf numFmtId="0" fontId="97" fillId="10" borderId="41" xfId="0" applyFont="1" applyFill="1" applyBorder="1" applyAlignment="1">
      <alignment horizontal="justify" vertical="center"/>
    </xf>
    <xf numFmtId="0" fontId="10" fillId="0" borderId="37" xfId="0" applyFont="1" applyBorder="1" applyAlignment="1">
      <alignment horizontal="justify" vertical="top" wrapText="1"/>
    </xf>
    <xf numFmtId="0" fontId="10" fillId="0" borderId="11" xfId="0" applyFont="1" applyBorder="1" applyAlignment="1">
      <alignment horizontal="justify" vertical="top"/>
    </xf>
    <xf numFmtId="0" fontId="0" fillId="0" borderId="37" xfId="0" applyBorder="1" applyAlignment="1">
      <alignment horizontal="justify" vertical="top" wrapText="1"/>
    </xf>
    <xf numFmtId="0" fontId="0" fillId="0" borderId="11" xfId="0" applyBorder="1" applyAlignment="1">
      <alignment horizontal="justify" vertical="top" wrapText="1"/>
    </xf>
    <xf numFmtId="0" fontId="0" fillId="0" borderId="41" xfId="0" applyBorder="1" applyAlignment="1">
      <alignment horizontal="justify" vertical="top" wrapText="1"/>
    </xf>
    <xf numFmtId="0" fontId="0" fillId="0" borderId="37" xfId="0" applyBorder="1" applyAlignment="1">
      <alignment horizontal="center" vertical="center" wrapText="1"/>
    </xf>
    <xf numFmtId="0" fontId="0" fillId="0" borderId="11" xfId="0" applyBorder="1" applyAlignment="1">
      <alignment horizontal="center" vertical="center" wrapText="1"/>
    </xf>
    <xf numFmtId="0" fontId="0" fillId="0" borderId="41" xfId="0" applyBorder="1" applyAlignment="1">
      <alignment horizontal="center" vertical="center" wrapText="1"/>
    </xf>
    <xf numFmtId="0" fontId="0" fillId="0" borderId="3" xfId="0" applyBorder="1" applyAlignment="1">
      <alignment horizontal="center" vertical="center" wrapText="1"/>
    </xf>
    <xf numFmtId="0" fontId="0" fillId="0" borderId="71" xfId="0" applyBorder="1" applyAlignment="1">
      <alignment horizontal="center" vertical="center" wrapText="1"/>
    </xf>
    <xf numFmtId="0" fontId="0" fillId="0" borderId="63" xfId="0" applyBorder="1" applyAlignment="1">
      <alignment horizontal="center" vertical="center" wrapText="1"/>
    </xf>
    <xf numFmtId="0" fontId="39" fillId="0" borderId="37" xfId="0" applyFont="1" applyBorder="1" applyAlignment="1">
      <alignment horizontal="left" vertical="top" wrapText="1"/>
    </xf>
    <xf numFmtId="0" fontId="39" fillId="0" borderId="11" xfId="0" applyFont="1" applyBorder="1" applyAlignment="1">
      <alignment horizontal="left" vertical="top" wrapText="1"/>
    </xf>
    <xf numFmtId="0" fontId="39" fillId="0" borderId="41" xfId="0" applyFont="1" applyBorder="1" applyAlignment="1">
      <alignment horizontal="left" vertical="top" wrapText="1"/>
    </xf>
    <xf numFmtId="0" fontId="77" fillId="0" borderId="37" xfId="0" applyFont="1" applyBorder="1" applyAlignment="1">
      <alignment horizontal="justify" vertical="top" wrapText="1"/>
    </xf>
    <xf numFmtId="0" fontId="39" fillId="0" borderId="11" xfId="0" applyFont="1" applyBorder="1" applyAlignment="1">
      <alignment horizontal="justify" vertical="top" wrapText="1"/>
    </xf>
    <xf numFmtId="0" fontId="39" fillId="0" borderId="41" xfId="0" applyFont="1" applyBorder="1" applyAlignment="1">
      <alignment horizontal="justify" vertical="top" wrapText="1"/>
    </xf>
    <xf numFmtId="0" fontId="74" fillId="0" borderId="37" xfId="0" applyFont="1" applyBorder="1" applyAlignment="1">
      <alignment horizontal="justify" vertical="top" wrapText="1"/>
    </xf>
    <xf numFmtId="0" fontId="0" fillId="0" borderId="37" xfId="0" applyBorder="1" applyAlignment="1">
      <alignment horizontal="left" vertical="top" wrapText="1"/>
    </xf>
    <xf numFmtId="0" fontId="0" fillId="0" borderId="11" xfId="0" applyBorder="1" applyAlignment="1">
      <alignment horizontal="left" vertical="top" wrapText="1"/>
    </xf>
    <xf numFmtId="0" fontId="0" fillId="0" borderId="41" xfId="0" applyBorder="1" applyAlignment="1">
      <alignment horizontal="left" vertical="top" wrapText="1"/>
    </xf>
    <xf numFmtId="0" fontId="0" fillId="10" borderId="37" xfId="0" applyFill="1" applyBorder="1" applyAlignment="1">
      <alignment horizontal="justify" vertical="top" wrapText="1"/>
    </xf>
    <xf numFmtId="0" fontId="0" fillId="10" borderId="11" xfId="0" applyFill="1" applyBorder="1" applyAlignment="1">
      <alignment horizontal="justify" vertical="top" wrapText="1"/>
    </xf>
    <xf numFmtId="0" fontId="0" fillId="10" borderId="41" xfId="0" applyFill="1" applyBorder="1" applyAlignment="1">
      <alignment horizontal="justify" vertical="top" wrapText="1"/>
    </xf>
    <xf numFmtId="0" fontId="0" fillId="0" borderId="37" xfId="0" applyBorder="1" applyAlignment="1">
      <alignment horizontal="justify" vertical="center" wrapText="1"/>
    </xf>
    <xf numFmtId="0" fontId="0" fillId="0" borderId="11" xfId="0" applyBorder="1" applyAlignment="1">
      <alignment horizontal="justify" vertical="center" wrapText="1"/>
    </xf>
    <xf numFmtId="0" fontId="0" fillId="0" borderId="41" xfId="0" applyBorder="1" applyAlignment="1">
      <alignment horizontal="justify" vertical="center" wrapText="1"/>
    </xf>
    <xf numFmtId="0" fontId="110" fillId="0" borderId="37" xfId="0" applyFont="1" applyBorder="1" applyAlignment="1">
      <alignment horizontal="justify" vertical="top" wrapText="1"/>
    </xf>
    <xf numFmtId="0" fontId="87" fillId="0" borderId="11" xfId="0" applyFont="1" applyBorder="1" applyAlignment="1">
      <alignment horizontal="justify" vertical="top" wrapText="1"/>
    </xf>
    <xf numFmtId="0" fontId="87" fillId="0" borderId="77" xfId="0" applyFont="1" applyBorder="1" applyAlignment="1">
      <alignment horizontal="justify" vertical="top" wrapText="1"/>
    </xf>
    <xf numFmtId="0" fontId="87" fillId="0" borderId="37" xfId="0" applyFont="1" applyBorder="1" applyAlignment="1">
      <alignment horizontal="justify" vertical="top" wrapText="1"/>
    </xf>
    <xf numFmtId="0" fontId="0" fillId="0" borderId="48" xfId="0" applyBorder="1" applyAlignment="1">
      <alignment horizontal="justify" vertical="top" wrapText="1"/>
    </xf>
    <xf numFmtId="0" fontId="0" fillId="0" borderId="93" xfId="0" applyBorder="1" applyAlignment="1">
      <alignment horizontal="justify" vertical="top" wrapText="1"/>
    </xf>
    <xf numFmtId="0" fontId="69" fillId="0" borderId="37" xfId="0" applyFont="1" applyBorder="1" applyAlignment="1">
      <alignment horizontal="justify" vertical="top" wrapText="1"/>
    </xf>
    <xf numFmtId="0" fontId="0" fillId="10" borderId="37" xfId="0" applyFill="1" applyBorder="1" applyAlignment="1">
      <alignment horizontal="left" vertical="top" wrapText="1"/>
    </xf>
    <xf numFmtId="0" fontId="0" fillId="10" borderId="11" xfId="0" applyFill="1" applyBorder="1" applyAlignment="1">
      <alignment horizontal="left" vertical="top" wrapText="1"/>
    </xf>
    <xf numFmtId="0" fontId="0" fillId="10" borderId="41" xfId="0" applyFill="1" applyBorder="1" applyAlignment="1">
      <alignment horizontal="left" vertical="top" wrapText="1"/>
    </xf>
    <xf numFmtId="0" fontId="0" fillId="10" borderId="37" xfId="0" applyFill="1" applyBorder="1" applyAlignment="1">
      <alignment horizontal="center" vertical="center" wrapText="1"/>
    </xf>
    <xf numFmtId="0" fontId="0" fillId="10" borderId="11" xfId="0" applyFill="1" applyBorder="1" applyAlignment="1">
      <alignment horizontal="center" vertical="center" wrapText="1"/>
    </xf>
    <xf numFmtId="0" fontId="0" fillId="10" borderId="41" xfId="0" applyFill="1" applyBorder="1" applyAlignment="1">
      <alignment horizontal="center" vertical="center" wrapText="1"/>
    </xf>
    <xf numFmtId="0" fontId="0" fillId="0" borderId="7" xfId="0" applyBorder="1" applyAlignment="1">
      <alignment horizontal="justify" vertical="top" wrapText="1"/>
    </xf>
    <xf numFmtId="0" fontId="0" fillId="0" borderId="7" xfId="0" applyBorder="1" applyAlignment="1">
      <alignment horizontal="center" vertical="center" wrapText="1"/>
    </xf>
    <xf numFmtId="0" fontId="0" fillId="0" borderId="3" xfId="0" applyBorder="1" applyAlignment="1">
      <alignment horizontal="justify" vertical="top" wrapText="1"/>
    </xf>
    <xf numFmtId="0" fontId="0" fillId="0" borderId="71" xfId="0" applyBorder="1" applyAlignment="1">
      <alignment horizontal="justify" vertical="top" wrapText="1"/>
    </xf>
    <xf numFmtId="0" fontId="0" fillId="0" borderId="63" xfId="0" applyBorder="1" applyAlignment="1">
      <alignment horizontal="justify" vertical="top" wrapText="1"/>
    </xf>
    <xf numFmtId="0" fontId="0" fillId="0" borderId="44" xfId="0" applyBorder="1" applyAlignment="1">
      <alignment horizontal="justify" vertical="top" wrapText="1"/>
    </xf>
    <xf numFmtId="0" fontId="0" fillId="0" borderId="12" xfId="0" applyBorder="1" applyAlignment="1">
      <alignment horizontal="justify" vertical="top" wrapText="1"/>
    </xf>
    <xf numFmtId="0" fontId="0" fillId="0" borderId="80" xfId="0" applyBorder="1" applyAlignment="1">
      <alignment horizontal="center" vertical="center" wrapText="1"/>
    </xf>
    <xf numFmtId="0" fontId="0" fillId="0" borderId="13" xfId="0" applyBorder="1" applyAlignment="1">
      <alignment horizontal="center" vertical="center" wrapText="1"/>
    </xf>
    <xf numFmtId="0" fontId="0" fillId="0" borderId="78" xfId="0" applyBorder="1" applyAlignment="1">
      <alignment horizontal="justify" vertical="top" wrapText="1"/>
    </xf>
    <xf numFmtId="0" fontId="0" fillId="0" borderId="77" xfId="0" applyBorder="1" applyAlignment="1">
      <alignment horizontal="justify" vertical="top" wrapText="1"/>
    </xf>
    <xf numFmtId="0" fontId="0" fillId="0" borderId="78" xfId="0" applyBorder="1" applyAlignment="1">
      <alignment horizontal="center" vertical="center" wrapText="1"/>
    </xf>
    <xf numFmtId="0" fontId="0" fillId="0" borderId="77" xfId="0" applyBorder="1" applyAlignment="1">
      <alignment horizontal="center" vertical="center" wrapText="1"/>
    </xf>
    <xf numFmtId="0" fontId="10" fillId="0" borderId="78" xfId="0" applyFont="1" applyBorder="1" applyAlignment="1">
      <alignment horizontal="justify" vertical="center" wrapText="1"/>
    </xf>
    <xf numFmtId="0" fontId="10" fillId="0" borderId="77" xfId="0" applyFont="1" applyBorder="1" applyAlignment="1">
      <alignment horizontal="justify" vertical="center"/>
    </xf>
    <xf numFmtId="0" fontId="1" fillId="0" borderId="78" xfId="0" applyFont="1" applyBorder="1" applyAlignment="1">
      <alignment horizontal="justify" vertical="center" wrapText="1"/>
    </xf>
    <xf numFmtId="0" fontId="1" fillId="0" borderId="77" xfId="0" applyFont="1" applyBorder="1" applyAlignment="1">
      <alignment horizontal="justify" vertical="center"/>
    </xf>
    <xf numFmtId="0" fontId="0" fillId="0" borderId="87" xfId="0" applyBorder="1" applyAlignment="1">
      <alignment horizontal="center"/>
    </xf>
    <xf numFmtId="0" fontId="0" fillId="0" borderId="89" xfId="0" applyBorder="1" applyAlignment="1">
      <alignment horizontal="center"/>
    </xf>
    <xf numFmtId="0" fontId="0" fillId="0" borderId="92" xfId="0" applyBorder="1" applyAlignment="1">
      <alignment horizontal="center"/>
    </xf>
    <xf numFmtId="0" fontId="10" fillId="0" borderId="41" xfId="0" applyFont="1" applyBorder="1" applyAlignment="1">
      <alignment horizontal="justify" vertical="center" wrapText="1"/>
    </xf>
    <xf numFmtId="0" fontId="1" fillId="0" borderId="37" xfId="0" applyFont="1" applyBorder="1" applyAlignment="1">
      <alignment horizontal="justify" vertical="center"/>
    </xf>
    <xf numFmtId="0" fontId="0" fillId="0" borderId="37" xfId="0" applyBorder="1" applyAlignment="1">
      <alignment horizontal="center"/>
    </xf>
    <xf numFmtId="0" fontId="0" fillId="0" borderId="41" xfId="0" applyBorder="1" applyAlignment="1">
      <alignment horizontal="center"/>
    </xf>
    <xf numFmtId="0" fontId="0" fillId="0" borderId="11" xfId="0" applyBorder="1" applyAlignment="1">
      <alignment horizontal="center" vertical="top"/>
    </xf>
    <xf numFmtId="0" fontId="0" fillId="0" borderId="7" xfId="0" applyBorder="1" applyAlignment="1">
      <alignment horizontal="center" vertical="top"/>
    </xf>
    <xf numFmtId="0" fontId="13" fillId="0" borderId="37"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1" fillId="0" borderId="38" xfId="0" applyFont="1" applyBorder="1" applyAlignment="1">
      <alignment horizontal="center" vertical="center" wrapText="1"/>
    </xf>
    <xf numFmtId="0" fontId="1" fillId="0" borderId="79" xfId="0" applyFont="1" applyBorder="1" applyAlignment="1">
      <alignment horizontal="center" vertical="center" wrapText="1"/>
    </xf>
    <xf numFmtId="0" fontId="1" fillId="0" borderId="65" xfId="0" applyFont="1" applyBorder="1" applyAlignment="1">
      <alignment horizontal="center" vertical="center" wrapText="1"/>
    </xf>
    <xf numFmtId="14" fontId="0" fillId="0" borderId="37" xfId="0" applyNumberFormat="1" applyBorder="1" applyAlignment="1">
      <alignment horizontal="center" vertical="center" wrapText="1"/>
    </xf>
    <xf numFmtId="14" fontId="0" fillId="0" borderId="7" xfId="0" applyNumberFormat="1" applyBorder="1" applyAlignment="1">
      <alignment horizontal="center" vertical="center" wrapText="1"/>
    </xf>
    <xf numFmtId="14" fontId="0" fillId="0" borderId="37" xfId="0" applyNumberFormat="1" applyBorder="1" applyAlignment="1">
      <alignment horizontal="center" vertical="center"/>
    </xf>
    <xf numFmtId="14" fontId="0" fillId="0" borderId="7" xfId="0" applyNumberFormat="1" applyBorder="1" applyAlignment="1">
      <alignment horizontal="center" vertical="center"/>
    </xf>
    <xf numFmtId="0" fontId="1" fillId="0" borderId="52" xfId="0" applyFont="1" applyBorder="1" applyAlignment="1" applyProtection="1">
      <alignment horizontal="center" vertical="center"/>
      <protection locked="0"/>
    </xf>
    <xf numFmtId="0" fontId="1" fillId="0" borderId="41" xfId="0" applyFont="1" applyBorder="1" applyAlignment="1" applyProtection="1">
      <alignment horizontal="center" vertical="center"/>
      <protection locked="0"/>
    </xf>
    <xf numFmtId="14" fontId="0" fillId="0" borderId="11" xfId="0" applyNumberFormat="1" applyBorder="1" applyAlignment="1">
      <alignment horizontal="center" vertical="center" wrapText="1"/>
    </xf>
    <xf numFmtId="14" fontId="0" fillId="0" borderId="41" xfId="0" applyNumberFormat="1" applyBorder="1" applyAlignment="1">
      <alignment horizontal="center" vertical="center" wrapText="1"/>
    </xf>
    <xf numFmtId="14" fontId="0" fillId="0" borderId="11" xfId="0" applyNumberFormat="1" applyBorder="1" applyAlignment="1">
      <alignment horizontal="center" vertical="center"/>
    </xf>
    <xf numFmtId="14" fontId="0" fillId="0" borderId="41" xfId="0" applyNumberFormat="1" applyBorder="1" applyAlignment="1">
      <alignment horizontal="center" vertical="center"/>
    </xf>
    <xf numFmtId="0" fontId="0" fillId="0" borderId="52" xfId="0" applyBorder="1" applyAlignment="1">
      <alignment horizontal="justify" vertical="top" wrapText="1"/>
    </xf>
    <xf numFmtId="0" fontId="0" fillId="0" borderId="37" xfId="0" applyBorder="1" applyAlignment="1">
      <alignment horizontal="left" vertical="center" wrapText="1"/>
    </xf>
    <xf numFmtId="0" fontId="0" fillId="0" borderId="11" xfId="0" applyBorder="1" applyAlignment="1">
      <alignment horizontal="left" vertical="center" wrapText="1"/>
    </xf>
    <xf numFmtId="0" fontId="0" fillId="0" borderId="41" xfId="0" applyBorder="1" applyAlignment="1">
      <alignment horizontal="left" vertical="center" wrapText="1"/>
    </xf>
    <xf numFmtId="0" fontId="10" fillId="0" borderId="52" xfId="0" applyFont="1" applyBorder="1" applyAlignment="1" applyProtection="1">
      <alignment horizontal="center" vertical="top" wrapText="1"/>
      <protection locked="0"/>
    </xf>
    <xf numFmtId="0" fontId="10" fillId="0" borderId="11" xfId="0" applyFont="1" applyBorder="1" applyAlignment="1" applyProtection="1">
      <alignment horizontal="center" vertical="top" wrapText="1"/>
      <protection locked="0"/>
    </xf>
    <xf numFmtId="0" fontId="18" fillId="0" borderId="52"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1" fillId="10" borderId="71" xfId="0" applyFont="1" applyFill="1" applyBorder="1" applyAlignment="1">
      <alignment horizontal="justify" vertical="top" wrapText="1"/>
    </xf>
    <xf numFmtId="0" fontId="1" fillId="10" borderId="52" xfId="0" applyFont="1" applyFill="1" applyBorder="1" applyAlignment="1">
      <alignment horizontal="justify" vertical="top" wrapText="1"/>
    </xf>
    <xf numFmtId="0" fontId="1" fillId="10" borderId="52" xfId="0" applyFont="1" applyFill="1" applyBorder="1" applyAlignment="1">
      <alignment horizontal="center" vertical="center" wrapText="1"/>
    </xf>
    <xf numFmtId="14" fontId="10" fillId="0" borderId="71" xfId="0" applyNumberFormat="1" applyFont="1" applyBorder="1" applyAlignment="1">
      <alignment horizontal="center" vertical="center" wrapText="1"/>
    </xf>
    <xf numFmtId="14" fontId="10" fillId="0" borderId="52" xfId="0" applyNumberFormat="1" applyFont="1" applyBorder="1" applyAlignment="1">
      <alignment horizontal="center" vertical="center" wrapText="1"/>
    </xf>
    <xf numFmtId="14" fontId="10" fillId="0" borderId="71" xfId="0" applyNumberFormat="1" applyFont="1" applyBorder="1" applyAlignment="1">
      <alignment horizontal="center" vertical="center"/>
    </xf>
    <xf numFmtId="14" fontId="10" fillId="0" borderId="52" xfId="0" applyNumberFormat="1" applyFont="1" applyBorder="1" applyAlignment="1">
      <alignment horizontal="center" vertical="center"/>
    </xf>
    <xf numFmtId="0" fontId="1" fillId="10" borderId="52" xfId="0" applyFont="1" applyFill="1" applyBorder="1" applyAlignment="1" applyProtection="1">
      <alignment horizontal="center" vertical="center" wrapText="1"/>
      <protection locked="0"/>
    </xf>
    <xf numFmtId="0" fontId="10" fillId="0" borderId="71" xfId="0" applyFont="1" applyBorder="1" applyAlignment="1">
      <alignment horizontal="center" vertical="center" wrapText="1"/>
    </xf>
    <xf numFmtId="0" fontId="10" fillId="0" borderId="52" xfId="0" applyFont="1" applyBorder="1" applyAlignment="1">
      <alignment horizontal="center" vertical="center" wrapText="1"/>
    </xf>
    <xf numFmtId="0" fontId="1" fillId="0" borderId="37" xfId="0" applyFont="1" applyBorder="1" applyAlignment="1" applyProtection="1">
      <alignment horizontal="justify" vertical="center" wrapText="1"/>
      <protection locked="0"/>
    </xf>
    <xf numFmtId="0" fontId="1" fillId="0" borderId="11" xfId="0" applyFont="1" applyBorder="1" applyAlignment="1" applyProtection="1">
      <alignment horizontal="justify" vertical="center" wrapText="1"/>
      <protection locked="0"/>
    </xf>
    <xf numFmtId="0" fontId="1" fillId="0" borderId="7" xfId="0" applyFont="1" applyBorder="1" applyAlignment="1" applyProtection="1">
      <alignment horizontal="justify" vertical="center" wrapText="1"/>
      <protection locked="0"/>
    </xf>
    <xf numFmtId="0" fontId="44" fillId="0" borderId="14" xfId="0" applyFont="1" applyBorder="1" applyAlignment="1">
      <alignment horizontal="right" vertical="center" wrapText="1"/>
    </xf>
    <xf numFmtId="0" fontId="44" fillId="0" borderId="15" xfId="0" applyFont="1" applyBorder="1" applyAlignment="1">
      <alignment horizontal="right" vertical="center" wrapText="1"/>
    </xf>
    <xf numFmtId="0" fontId="44" fillId="0" borderId="20" xfId="0" applyFont="1" applyBorder="1" applyAlignment="1">
      <alignment horizontal="right" vertical="center" wrapText="1"/>
    </xf>
    <xf numFmtId="0" fontId="44" fillId="0" borderId="0" xfId="0" applyFont="1" applyAlignment="1">
      <alignment horizontal="right" vertical="center" wrapText="1"/>
    </xf>
    <xf numFmtId="0" fontId="44" fillId="0" borderId="21" xfId="0" applyFont="1" applyBorder="1" applyAlignment="1">
      <alignment horizontal="right" vertical="center" wrapText="1"/>
    </xf>
    <xf numFmtId="0" fontId="44" fillId="0" borderId="22" xfId="0" applyFont="1" applyBorder="1" applyAlignment="1">
      <alignment horizontal="right" vertical="center" wrapText="1"/>
    </xf>
    <xf numFmtId="0" fontId="12" fillId="13" borderId="65" xfId="0" applyFont="1" applyFill="1" applyBorder="1" applyAlignment="1">
      <alignment horizontal="center" vertical="center"/>
    </xf>
    <xf numFmtId="0" fontId="12" fillId="13" borderId="69" xfId="0" applyFont="1" applyFill="1" applyBorder="1" applyAlignment="1">
      <alignment horizontal="center" vertical="center"/>
    </xf>
    <xf numFmtId="0" fontId="12" fillId="13" borderId="70" xfId="0" applyFont="1" applyFill="1" applyBorder="1" applyAlignment="1">
      <alignment horizontal="center" vertical="center"/>
    </xf>
    <xf numFmtId="0" fontId="12" fillId="13" borderId="65" xfId="0" applyFont="1" applyFill="1" applyBorder="1" applyAlignment="1">
      <alignment horizontal="center" vertical="center" wrapText="1"/>
    </xf>
    <xf numFmtId="0" fontId="12" fillId="13" borderId="69" xfId="0" applyFont="1" applyFill="1" applyBorder="1" applyAlignment="1">
      <alignment horizontal="center" vertical="center" wrapText="1"/>
    </xf>
    <xf numFmtId="0" fontId="12" fillId="13" borderId="70"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18" xfId="0" applyFont="1" applyBorder="1" applyAlignment="1">
      <alignment horizontal="center" vertical="center" wrapText="1"/>
    </xf>
    <xf numFmtId="0" fontId="45" fillId="0" borderId="26" xfId="0" applyFont="1" applyBorder="1" applyAlignment="1">
      <alignment horizontal="center" vertical="center" wrapText="1"/>
    </xf>
    <xf numFmtId="0" fontId="45" fillId="0" borderId="0" xfId="0" applyFont="1" applyAlignment="1">
      <alignment horizontal="center" vertical="center" wrapText="1"/>
    </xf>
    <xf numFmtId="0" fontId="45" fillId="0" borderId="27" xfId="0" applyFont="1" applyBorder="1" applyAlignment="1">
      <alignment horizontal="center" vertical="center" wrapText="1"/>
    </xf>
    <xf numFmtId="0" fontId="45" fillId="0" borderId="8" xfId="0" applyFont="1" applyBorder="1" applyAlignment="1">
      <alignment horizontal="center" vertical="center" wrapText="1"/>
    </xf>
    <xf numFmtId="0" fontId="45" fillId="0" borderId="9" xfId="0" applyFont="1" applyBorder="1" applyAlignment="1">
      <alignment horizontal="center" vertical="center" wrapText="1"/>
    </xf>
    <xf numFmtId="0" fontId="45" fillId="0" borderId="10" xfId="0" applyFont="1" applyBorder="1" applyAlignment="1">
      <alignment horizontal="center" vertical="center" wrapText="1"/>
    </xf>
    <xf numFmtId="0" fontId="12" fillId="13" borderId="3" xfId="0" applyFont="1" applyFill="1" applyBorder="1" applyAlignment="1">
      <alignment horizontal="center" vertical="center" wrapText="1"/>
    </xf>
    <xf numFmtId="0" fontId="12" fillId="13" borderId="5" xfId="0" applyFont="1" applyFill="1" applyBorder="1" applyAlignment="1">
      <alignment horizontal="center" vertical="center"/>
    </xf>
    <xf numFmtId="0" fontId="12" fillId="13" borderId="63" xfId="0" applyFont="1" applyFill="1" applyBorder="1" applyAlignment="1">
      <alignment horizontal="center" vertical="center"/>
    </xf>
    <xf numFmtId="0" fontId="12" fillId="13" borderId="6" xfId="0" applyFont="1" applyFill="1" applyBorder="1" applyAlignment="1">
      <alignment horizontal="center" vertical="center"/>
    </xf>
    <xf numFmtId="0" fontId="12" fillId="13" borderId="66" xfId="0" applyFont="1" applyFill="1" applyBorder="1" applyAlignment="1">
      <alignment horizontal="center" vertical="center"/>
    </xf>
    <xf numFmtId="0" fontId="12" fillId="13" borderId="38" xfId="0" applyFont="1" applyFill="1" applyBorder="1" applyAlignment="1">
      <alignment horizontal="center" vertical="center" wrapText="1"/>
    </xf>
    <xf numFmtId="0" fontId="12" fillId="13" borderId="63" xfId="0" applyFont="1" applyFill="1" applyBorder="1" applyAlignment="1">
      <alignment horizontal="center" vertical="center" wrapText="1"/>
    </xf>
    <xf numFmtId="0" fontId="1" fillId="13" borderId="43" xfId="0" applyFont="1" applyFill="1" applyBorder="1" applyAlignment="1">
      <alignment horizontal="center" vertical="center"/>
    </xf>
    <xf numFmtId="0" fontId="1" fillId="13" borderId="45" xfId="0" applyFont="1" applyFill="1" applyBorder="1" applyAlignment="1">
      <alignment horizontal="center" vertical="center"/>
    </xf>
    <xf numFmtId="0" fontId="1" fillId="13" borderId="46" xfId="0" applyFont="1" applyFill="1" applyBorder="1" applyAlignment="1">
      <alignment horizontal="center" vertical="center"/>
    </xf>
    <xf numFmtId="0" fontId="1" fillId="13" borderId="16" xfId="0" applyFont="1" applyFill="1" applyBorder="1" applyAlignment="1">
      <alignment horizontal="center" vertical="center"/>
    </xf>
    <xf numFmtId="0" fontId="1" fillId="13" borderId="26" xfId="0" applyFont="1" applyFill="1" applyBorder="1" applyAlignment="1">
      <alignment horizontal="center" vertical="center"/>
    </xf>
    <xf numFmtId="0" fontId="1" fillId="13" borderId="8" xfId="0" applyFont="1" applyFill="1" applyBorder="1" applyAlignment="1">
      <alignment horizontal="center" vertical="center"/>
    </xf>
    <xf numFmtId="0" fontId="1" fillId="0" borderId="43" xfId="0" applyFont="1" applyBorder="1" applyAlignment="1" applyProtection="1">
      <alignment horizontal="center" vertical="center" wrapText="1"/>
      <protection locked="0"/>
    </xf>
    <xf numFmtId="0" fontId="1" fillId="0" borderId="45" xfId="0" applyFont="1" applyBorder="1" applyAlignment="1" applyProtection="1">
      <alignment horizontal="center" vertical="center" wrapText="1"/>
      <protection locked="0"/>
    </xf>
    <xf numFmtId="0" fontId="1" fillId="0" borderId="46" xfId="0" applyFont="1" applyBorder="1" applyAlignment="1" applyProtection="1">
      <alignment horizontal="center" vertical="center" wrapText="1"/>
      <protection locked="0"/>
    </xf>
    <xf numFmtId="0" fontId="1" fillId="0" borderId="41" xfId="0" applyFont="1" applyBorder="1" applyAlignment="1" applyProtection="1">
      <alignment horizontal="justify" vertical="center" wrapText="1"/>
      <protection locked="0"/>
    </xf>
    <xf numFmtId="0" fontId="1" fillId="0" borderId="37" xfId="0" applyFont="1" applyBorder="1" applyAlignment="1" applyProtection="1">
      <alignment horizontal="justify" vertical="top" wrapText="1"/>
      <protection locked="0"/>
    </xf>
    <xf numFmtId="0" fontId="1" fillId="0" borderId="11" xfId="0" applyFont="1" applyBorder="1" applyAlignment="1" applyProtection="1">
      <alignment horizontal="justify" vertical="top" wrapText="1"/>
      <protection locked="0"/>
    </xf>
    <xf numFmtId="0" fontId="1" fillId="0" borderId="41" xfId="0" applyFont="1" applyBorder="1" applyAlignment="1" applyProtection="1">
      <alignment horizontal="justify" vertical="top" wrapText="1"/>
      <protection locked="0"/>
    </xf>
    <xf numFmtId="0" fontId="1" fillId="13" borderId="11" xfId="0" applyFont="1" applyFill="1" applyBorder="1" applyAlignment="1">
      <alignment horizontal="center" vertical="center"/>
    </xf>
    <xf numFmtId="0" fontId="1" fillId="13" borderId="7" xfId="0" applyFont="1" applyFill="1" applyBorder="1" applyAlignment="1">
      <alignment horizontal="center" vertical="center"/>
    </xf>
    <xf numFmtId="0" fontId="1" fillId="13" borderId="52" xfId="0" applyFont="1" applyFill="1" applyBorder="1" applyAlignment="1">
      <alignment horizontal="center" vertical="center"/>
    </xf>
    <xf numFmtId="0" fontId="1" fillId="16" borderId="52" xfId="0" applyFont="1" applyFill="1" applyBorder="1" applyAlignment="1">
      <alignment horizontal="center" vertical="center"/>
    </xf>
    <xf numFmtId="0" fontId="1" fillId="16" borderId="11" xfId="0" applyFont="1" applyFill="1" applyBorder="1" applyAlignment="1">
      <alignment horizontal="center" vertical="center"/>
    </xf>
    <xf numFmtId="0" fontId="1" fillId="16" borderId="7" xfId="0" applyFont="1" applyFill="1" applyBorder="1" applyAlignment="1">
      <alignment horizontal="center" vertical="center"/>
    </xf>
    <xf numFmtId="0" fontId="0" fillId="0" borderId="37" xfId="0" applyBorder="1" applyAlignment="1">
      <alignment horizontal="center" vertical="top"/>
    </xf>
    <xf numFmtId="0" fontId="0" fillId="0" borderId="41" xfId="0" applyBorder="1" applyAlignment="1">
      <alignment horizontal="center" vertical="top"/>
    </xf>
    <xf numFmtId="0" fontId="0" fillId="0" borderId="52" xfId="0" applyBorder="1" applyAlignment="1">
      <alignment horizontal="center" vertical="center" wrapText="1"/>
    </xf>
    <xf numFmtId="0" fontId="0" fillId="0" borderId="52" xfId="0" applyBorder="1" applyAlignment="1">
      <alignment horizontal="center"/>
    </xf>
    <xf numFmtId="0" fontId="0" fillId="0" borderId="52" xfId="0" applyBorder="1" applyAlignment="1">
      <alignment horizontal="center" vertical="top"/>
    </xf>
    <xf numFmtId="0" fontId="0" fillId="0" borderId="0" xfId="0" applyAlignment="1">
      <alignment horizontal="center"/>
    </xf>
    <xf numFmtId="0" fontId="1" fillId="0" borderId="67"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3" fillId="8" borderId="71" xfId="0" applyFont="1" applyFill="1" applyBorder="1" applyAlignment="1">
      <alignment horizontal="center" vertical="center" wrapText="1"/>
    </xf>
    <xf numFmtId="0" fontId="1" fillId="8" borderId="71" xfId="0" applyFont="1" applyFill="1" applyBorder="1" applyAlignment="1">
      <alignment horizontal="center" vertical="center" wrapText="1"/>
    </xf>
    <xf numFmtId="0" fontId="1" fillId="8" borderId="63" xfId="0" applyFont="1" applyFill="1" applyBorder="1" applyAlignment="1">
      <alignment horizontal="center" vertical="center" wrapText="1"/>
    </xf>
    <xf numFmtId="0" fontId="1" fillId="8" borderId="71" xfId="0" applyFont="1" applyFill="1" applyBorder="1" applyAlignment="1" applyProtection="1">
      <alignment horizontal="center" vertical="center" wrapText="1"/>
      <protection locked="0"/>
    </xf>
    <xf numFmtId="0" fontId="1" fillId="8" borderId="63" xfId="0" applyFont="1" applyFill="1" applyBorder="1" applyAlignment="1" applyProtection="1">
      <alignment horizontal="center" vertical="center" wrapText="1"/>
      <protection locked="0"/>
    </xf>
    <xf numFmtId="0" fontId="1" fillId="9" borderId="71" xfId="0" applyFont="1" applyFill="1" applyBorder="1" applyAlignment="1" applyProtection="1">
      <alignment horizontal="justify" vertical="center" wrapText="1"/>
      <protection locked="0"/>
    </xf>
    <xf numFmtId="0" fontId="1" fillId="9" borderId="71" xfId="0" applyFont="1" applyFill="1" applyBorder="1" applyAlignment="1" applyProtection="1">
      <alignment horizontal="center" vertical="center" wrapText="1"/>
      <protection locked="0"/>
    </xf>
    <xf numFmtId="0" fontId="1" fillId="0" borderId="71" xfId="0" applyFont="1" applyBorder="1" applyAlignment="1" applyProtection="1">
      <alignment horizontal="center"/>
      <protection locked="0"/>
    </xf>
    <xf numFmtId="0" fontId="1" fillId="0" borderId="63" xfId="0" applyFont="1" applyBorder="1" applyAlignment="1" applyProtection="1">
      <alignment horizontal="center"/>
      <protection locked="0"/>
    </xf>
    <xf numFmtId="0" fontId="13" fillId="8" borderId="63" xfId="0" applyFont="1" applyFill="1" applyBorder="1" applyAlignment="1">
      <alignment horizontal="center" vertical="center" wrapText="1"/>
    </xf>
    <xf numFmtId="0" fontId="1" fillId="9" borderId="63" xfId="0" applyFont="1" applyFill="1" applyBorder="1" applyAlignment="1" applyProtection="1">
      <alignment horizontal="justify" vertical="center" wrapText="1"/>
      <protection locked="0"/>
    </xf>
    <xf numFmtId="0" fontId="1" fillId="16" borderId="64" xfId="0" applyFont="1" applyFill="1" applyBorder="1" applyAlignment="1">
      <alignment horizontal="center" vertical="center"/>
    </xf>
    <xf numFmtId="0" fontId="1" fillId="16" borderId="66" xfId="0" applyFont="1" applyFill="1" applyBorder="1" applyAlignment="1">
      <alignment horizontal="center" vertical="center"/>
    </xf>
    <xf numFmtId="0" fontId="1" fillId="16" borderId="33" xfId="0" applyFont="1" applyFill="1" applyBorder="1" applyAlignment="1">
      <alignment horizontal="center" vertical="center"/>
    </xf>
    <xf numFmtId="0" fontId="1" fillId="10" borderId="7" xfId="0" applyFont="1" applyFill="1" applyBorder="1" applyAlignment="1" applyProtection="1">
      <alignment horizontal="center" vertical="center" wrapText="1"/>
      <protection locked="0"/>
    </xf>
    <xf numFmtId="0" fontId="1" fillId="10" borderId="7" xfId="0" applyFont="1" applyFill="1" applyBorder="1" applyAlignment="1">
      <alignment horizontal="center" vertical="center" wrapText="1"/>
    </xf>
    <xf numFmtId="0" fontId="26" fillId="0" borderId="71" xfId="0" applyFont="1" applyBorder="1" applyAlignment="1">
      <alignment horizontal="center" vertical="center" wrapText="1"/>
    </xf>
    <xf numFmtId="0" fontId="26" fillId="0" borderId="52" xfId="0" applyFont="1" applyBorder="1" applyAlignment="1">
      <alignment horizontal="center" vertical="center" wrapText="1"/>
    </xf>
    <xf numFmtId="0" fontId="13" fillId="8" borderId="7" xfId="0" applyFont="1" applyFill="1" applyBorder="1" applyAlignment="1">
      <alignment horizontal="center" vertical="center" wrapText="1"/>
    </xf>
    <xf numFmtId="0" fontId="47" fillId="0" borderId="71" xfId="0" applyFont="1" applyBorder="1" applyAlignment="1">
      <alignment horizontal="right" vertical="center" wrapText="1"/>
    </xf>
    <xf numFmtId="0" fontId="47" fillId="0" borderId="52" xfId="0" applyFont="1" applyBorder="1" applyAlignment="1">
      <alignment horizontal="right" vertical="center" wrapText="1"/>
    </xf>
    <xf numFmtId="0" fontId="12" fillId="13" borderId="61" xfId="0" applyFont="1" applyFill="1" applyBorder="1" applyAlignment="1">
      <alignment horizontal="center" vertical="center"/>
    </xf>
    <xf numFmtId="0" fontId="12" fillId="13" borderId="32" xfId="0" applyFont="1" applyFill="1" applyBorder="1" applyAlignment="1">
      <alignment horizontal="center" vertical="center"/>
    </xf>
    <xf numFmtId="0" fontId="1" fillId="9" borderId="7" xfId="0" applyFont="1" applyFill="1" applyBorder="1" applyAlignment="1" applyProtection="1">
      <alignment horizontal="center" vertical="center" wrapText="1"/>
      <protection locked="0"/>
    </xf>
    <xf numFmtId="0" fontId="1" fillId="8" borderId="7" xfId="0" applyFont="1" applyFill="1" applyBorder="1" applyAlignment="1">
      <alignment horizontal="center" vertical="center" wrapText="1"/>
    </xf>
    <xf numFmtId="0" fontId="30" fillId="13" borderId="3" xfId="0" applyFont="1" applyFill="1" applyBorder="1" applyAlignment="1">
      <alignment horizontal="center" vertical="center"/>
    </xf>
    <xf numFmtId="0" fontId="30" fillId="13" borderId="5" xfId="0" applyFont="1" applyFill="1" applyBorder="1" applyAlignment="1">
      <alignment horizontal="center" vertical="center"/>
    </xf>
    <xf numFmtId="0" fontId="30" fillId="13" borderId="52" xfId="0" applyFont="1" applyFill="1" applyBorder="1" applyAlignment="1">
      <alignment horizontal="center" vertical="center"/>
    </xf>
    <xf numFmtId="0" fontId="30" fillId="13" borderId="61" xfId="0" applyFont="1" applyFill="1" applyBorder="1" applyAlignment="1">
      <alignment horizontal="center" vertical="center"/>
    </xf>
    <xf numFmtId="0" fontId="1" fillId="9" borderId="63" xfId="0" applyFont="1" applyFill="1" applyBorder="1" applyAlignment="1" applyProtection="1">
      <alignment horizontal="center" vertical="center" wrapText="1"/>
      <protection locked="0"/>
    </xf>
    <xf numFmtId="0" fontId="1" fillId="8" borderId="7" xfId="0" applyFont="1" applyFill="1" applyBorder="1" applyAlignment="1" applyProtection="1">
      <alignment horizontal="center" vertical="center" wrapText="1"/>
      <protection locked="0"/>
    </xf>
    <xf numFmtId="0" fontId="0" fillId="10" borderId="23" xfId="0" applyFill="1" applyBorder="1" applyAlignment="1">
      <alignment horizontal="center" vertical="center" wrapText="1"/>
    </xf>
    <xf numFmtId="0" fontId="0" fillId="10" borderId="24" xfId="0" applyFill="1" applyBorder="1" applyAlignment="1">
      <alignment horizontal="center" vertical="center" wrapText="1"/>
    </xf>
    <xf numFmtId="0" fontId="0" fillId="10" borderId="25" xfId="0" applyFill="1" applyBorder="1" applyAlignment="1">
      <alignment horizontal="center" vertical="center" wrapText="1"/>
    </xf>
    <xf numFmtId="0" fontId="46" fillId="10" borderId="16" xfId="0" applyFont="1" applyFill="1" applyBorder="1" applyAlignment="1">
      <alignment horizontal="center" vertical="center" wrapText="1"/>
    </xf>
    <xf numFmtId="0" fontId="46" fillId="10" borderId="17" xfId="0" applyFont="1" applyFill="1" applyBorder="1" applyAlignment="1">
      <alignment horizontal="center" vertical="center" wrapText="1"/>
    </xf>
    <xf numFmtId="0" fontId="46" fillId="10" borderId="18" xfId="0" applyFont="1" applyFill="1" applyBorder="1" applyAlignment="1">
      <alignment horizontal="center" vertical="center" wrapText="1"/>
    </xf>
    <xf numFmtId="0" fontId="46" fillId="10" borderId="26" xfId="0" applyFont="1" applyFill="1" applyBorder="1" applyAlignment="1">
      <alignment horizontal="center" vertical="center" wrapText="1"/>
    </xf>
    <xf numFmtId="0" fontId="46" fillId="10" borderId="0" xfId="0" applyFont="1" applyFill="1" applyAlignment="1">
      <alignment horizontal="center" vertical="center" wrapText="1"/>
    </xf>
    <xf numFmtId="0" fontId="46" fillId="10" borderId="27" xfId="0" applyFont="1" applyFill="1" applyBorder="1" applyAlignment="1">
      <alignment horizontal="center" vertical="center" wrapText="1"/>
    </xf>
    <xf numFmtId="0" fontId="46" fillId="10" borderId="8" xfId="0" applyFont="1" applyFill="1" applyBorder="1" applyAlignment="1">
      <alignment horizontal="center" vertical="center" wrapText="1"/>
    </xf>
    <xf numFmtId="0" fontId="46" fillId="10" borderId="9" xfId="0" applyFont="1" applyFill="1" applyBorder="1" applyAlignment="1">
      <alignment horizontal="center" vertical="center" wrapText="1"/>
    </xf>
    <xf numFmtId="0" fontId="46" fillId="10" borderId="10" xfId="0" applyFont="1" applyFill="1" applyBorder="1" applyAlignment="1">
      <alignment horizontal="center" vertical="center" wrapText="1"/>
    </xf>
    <xf numFmtId="0" fontId="0" fillId="17" borderId="16" xfId="0" applyFill="1" applyBorder="1" applyAlignment="1">
      <alignment horizontal="center" wrapText="1"/>
    </xf>
    <xf numFmtId="0" fontId="0" fillId="17" borderId="17" xfId="0" applyFill="1" applyBorder="1" applyAlignment="1">
      <alignment horizontal="center" wrapText="1"/>
    </xf>
    <xf numFmtId="0" fontId="0" fillId="17" borderId="18" xfId="0" applyFill="1" applyBorder="1" applyAlignment="1">
      <alignment horizontal="center" wrapText="1"/>
    </xf>
    <xf numFmtId="0" fontId="0" fillId="17" borderId="8" xfId="0" applyFill="1" applyBorder="1" applyAlignment="1">
      <alignment horizontal="center" wrapText="1"/>
    </xf>
    <xf numFmtId="0" fontId="0" fillId="17" borderId="9" xfId="0" applyFill="1" applyBorder="1" applyAlignment="1">
      <alignment horizontal="center" wrapText="1"/>
    </xf>
    <xf numFmtId="0" fontId="0" fillId="17" borderId="10" xfId="0" applyFill="1" applyBorder="1" applyAlignment="1">
      <alignment horizontal="center" wrapText="1"/>
    </xf>
    <xf numFmtId="0" fontId="28" fillId="19" borderId="30" xfId="0" applyFont="1" applyFill="1" applyBorder="1" applyAlignment="1">
      <alignment horizontal="center"/>
    </xf>
    <xf numFmtId="0" fontId="28" fillId="19" borderId="59" xfId="0" applyFont="1" applyFill="1" applyBorder="1" applyAlignment="1">
      <alignment horizontal="center"/>
    </xf>
    <xf numFmtId="0" fontId="28" fillId="19" borderId="62" xfId="0" applyFont="1" applyFill="1" applyBorder="1" applyAlignment="1">
      <alignment horizontal="center"/>
    </xf>
    <xf numFmtId="0" fontId="28" fillId="19" borderId="60" xfId="0" applyFont="1" applyFill="1" applyBorder="1" applyAlignment="1">
      <alignment horizontal="center"/>
    </xf>
    <xf numFmtId="0" fontId="32" fillId="20" borderId="16" xfId="0" applyFont="1" applyFill="1" applyBorder="1" applyAlignment="1" applyProtection="1">
      <alignment horizontal="center"/>
      <protection hidden="1"/>
    </xf>
    <xf numFmtId="0" fontId="32" fillId="20" borderId="17" xfId="0" applyFont="1" applyFill="1" applyBorder="1" applyAlignment="1" applyProtection="1">
      <alignment horizontal="center"/>
      <protection hidden="1"/>
    </xf>
    <xf numFmtId="0" fontId="32" fillId="20" borderId="18" xfId="0" applyFont="1" applyFill="1" applyBorder="1" applyAlignment="1" applyProtection="1">
      <alignment horizontal="center"/>
      <protection hidden="1"/>
    </xf>
    <xf numFmtId="0" fontId="33" fillId="21" borderId="66" xfId="0" applyFont="1" applyFill="1" applyBorder="1" applyAlignment="1" applyProtection="1">
      <alignment horizontal="center"/>
      <protection hidden="1"/>
    </xf>
    <xf numFmtId="0" fontId="33" fillId="21" borderId="63" xfId="0" applyFont="1" applyFill="1" applyBorder="1" applyAlignment="1" applyProtection="1">
      <alignment horizontal="center"/>
      <protection hidden="1"/>
    </xf>
    <xf numFmtId="0" fontId="4" fillId="6" borderId="71" xfId="3" applyFont="1" applyFill="1" applyBorder="1" applyAlignment="1">
      <alignment horizontal="center" vertical="center"/>
    </xf>
    <xf numFmtId="0" fontId="6" fillId="0" borderId="71" xfId="3" applyFont="1" applyBorder="1" applyAlignment="1">
      <alignment horizontal="center" vertical="center" wrapText="1"/>
    </xf>
    <xf numFmtId="0" fontId="4" fillId="5" borderId="71" xfId="3" applyFont="1" applyFill="1" applyBorder="1" applyAlignment="1">
      <alignment horizontal="center" vertical="center"/>
    </xf>
    <xf numFmtId="0" fontId="4" fillId="4" borderId="71" xfId="3" applyFont="1" applyFill="1" applyBorder="1" applyAlignment="1">
      <alignment horizontal="center" vertical="center"/>
    </xf>
    <xf numFmtId="0" fontId="9" fillId="0" borderId="0" xfId="3" applyFont="1" applyAlignment="1">
      <alignment horizontal="center" vertical="center" wrapText="1"/>
    </xf>
    <xf numFmtId="0" fontId="9" fillId="0" borderId="0" xfId="3" applyFont="1" applyAlignment="1">
      <alignment horizontal="center" wrapText="1"/>
    </xf>
    <xf numFmtId="0" fontId="4" fillId="2" borderId="0" xfId="3" applyFont="1" applyFill="1" applyAlignment="1">
      <alignment horizontal="center" vertical="center"/>
    </xf>
    <xf numFmtId="0" fontId="4" fillId="12" borderId="71" xfId="3" applyFont="1" applyFill="1" applyBorder="1" applyAlignment="1">
      <alignment horizontal="center" vertical="center"/>
    </xf>
    <xf numFmtId="0" fontId="4" fillId="3" borderId="71" xfId="3" applyFont="1" applyFill="1" applyBorder="1" applyAlignment="1">
      <alignment horizontal="center" vertical="center"/>
    </xf>
    <xf numFmtId="0" fontId="4" fillId="11" borderId="0" xfId="3" applyFont="1" applyFill="1" applyAlignment="1">
      <alignment horizontal="center" vertical="center" textRotation="90"/>
    </xf>
  </cellXfs>
  <cellStyles count="8">
    <cellStyle name="Excel Built-in Normal" xfId="3"/>
    <cellStyle name="Hipervínculo" xfId="7" builtinId="8"/>
    <cellStyle name="Normal" xfId="0" builtinId="0"/>
    <cellStyle name="Normal 2" xfId="2"/>
    <cellStyle name="Normal 3" xfId="1"/>
    <cellStyle name="Normal 4" xfId="4"/>
    <cellStyle name="Normal 5" xfId="6"/>
    <cellStyle name="Porcentaje" xfId="5" builtinId="5"/>
  </cellStyles>
  <dxfs count="149">
    <dxf>
      <alignment horizontal="general" vertical="bottom" textRotation="0" wrapText="1" indent="0" justifyLastLine="0" shrinkToFit="0" readingOrder="0"/>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ont>
        <color auto="1"/>
      </font>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ill>
        <patternFill>
          <bgColor rgb="FFFF0000"/>
        </patternFill>
      </fill>
    </dxf>
    <dxf>
      <fill>
        <patternFill>
          <bgColor rgb="FFFFC000"/>
        </patternFill>
      </fill>
    </dxf>
    <dxf>
      <fill>
        <patternFill>
          <bgColor rgb="FFFFFF00"/>
        </patternFill>
      </fill>
    </dxf>
    <dxf>
      <font>
        <color auto="1"/>
      </font>
      <fill>
        <patternFill>
          <bgColor rgb="FF00B05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
      <font>
        <color auto="1"/>
      </font>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colors>
    <mruColors>
      <color rgb="FF00CC99"/>
      <color rgb="FF3366CC"/>
      <color rgb="FFE2ECFD"/>
      <color rgb="FF0000FF"/>
      <color rgb="FF66FF33"/>
      <color rgb="FFD7EBF7"/>
      <color rgb="FFD4F8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1099780</xdr:colOff>
      <xdr:row>0</xdr:row>
      <xdr:rowOff>25613</xdr:rowOff>
    </xdr:from>
    <xdr:to>
      <xdr:col>2</xdr:col>
      <xdr:colOff>314698</xdr:colOff>
      <xdr:row>2</xdr:row>
      <xdr:rowOff>112059</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4751" y="25613"/>
          <a:ext cx="1040543" cy="10613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693964</xdr:colOff>
      <xdr:row>0</xdr:row>
      <xdr:rowOff>13607</xdr:rowOff>
    </xdr:from>
    <xdr:to>
      <xdr:col>2</xdr:col>
      <xdr:colOff>326570</xdr:colOff>
      <xdr:row>2</xdr:row>
      <xdr:rowOff>312964</xdr:rowOff>
    </xdr:to>
    <xdr:pic>
      <xdr:nvPicPr>
        <xdr:cNvPr id="3" name="Imagen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0535" y="13607"/>
          <a:ext cx="1211035" cy="1115786"/>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1428749</xdr:colOff>
      <xdr:row>0</xdr:row>
      <xdr:rowOff>190499</xdr:rowOff>
    </xdr:from>
    <xdr:to>
      <xdr:col>2</xdr:col>
      <xdr:colOff>730249</xdr:colOff>
      <xdr:row>2</xdr:row>
      <xdr:rowOff>333374</xdr:rowOff>
    </xdr:to>
    <xdr:pic>
      <xdr:nvPicPr>
        <xdr:cNvPr id="4" name="Imagen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46249" y="190499"/>
          <a:ext cx="1539875" cy="9048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2034887</xdr:colOff>
      <xdr:row>0</xdr:row>
      <xdr:rowOff>51954</xdr:rowOff>
    </xdr:from>
    <xdr:to>
      <xdr:col>3</xdr:col>
      <xdr:colOff>1</xdr:colOff>
      <xdr:row>4</xdr:row>
      <xdr:rowOff>147204</xdr:rowOff>
    </xdr:to>
    <xdr:pic>
      <xdr:nvPicPr>
        <xdr:cNvPr id="3" name="Imagen 2">
          <a:extLst>
            <a:ext uri="{FF2B5EF4-FFF2-40B4-BE49-F238E27FC236}">
              <a16:creationId xmlns:a16="http://schemas.microsoft.com/office/drawing/2014/main" id="{00000000-0008-0000-05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82637" y="51954"/>
          <a:ext cx="1143000" cy="8572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838199</xdr:colOff>
      <xdr:row>0</xdr:row>
      <xdr:rowOff>0</xdr:rowOff>
    </xdr:from>
    <xdr:to>
      <xdr:col>3</xdr:col>
      <xdr:colOff>142874</xdr:colOff>
      <xdr:row>2</xdr:row>
      <xdr:rowOff>114300</xdr:rowOff>
    </xdr:to>
    <xdr:pic>
      <xdr:nvPicPr>
        <xdr:cNvPr id="3" name="Imagen 2">
          <a:extLst>
            <a:ext uri="{FF2B5EF4-FFF2-40B4-BE49-F238E27FC236}">
              <a16:creationId xmlns:a16="http://schemas.microsoft.com/office/drawing/2014/main" id="{00000000-0008-0000-06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199" y="0"/>
          <a:ext cx="962025" cy="4953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dpyate/Downloads/MC-FO-07%20MAPA%20DE%20RIEGOS%20DEL%20PROCESO%20(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JOSECAR/Downloads/2.%20Mapa%20de%20riesgos%20DIRyPLA__%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USER/OneDrive/Escritorio/JUSTICIA%202025/Riesgos%2030%20de%20Abril%202025/GGD/Mapa%20de%20Riesgos%20GG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C:\Users\DIGITAL%20EXITO\Downloads\Corrupci&#243;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DE RIESGOS"/>
      <sheetName val="T PROBABILIDAD"/>
      <sheetName val="Hoja4"/>
      <sheetName val="MATRIZ DE CALIFICACIÓN"/>
      <sheetName val="T IMPACTO"/>
      <sheetName val="Hoja1"/>
      <sheetName val="Hoja2"/>
      <sheetName val="Hoja3"/>
      <sheetName val="Hoja5"/>
      <sheetName val="Hoja6"/>
      <sheetName val="Listados"/>
      <sheetName val="Corrupción"/>
      <sheetName val="Seguridad Inform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de Datos2"/>
      <sheetName val="Base de Datos"/>
      <sheetName val="Contexto Estratégico MJD"/>
      <sheetName val="Contexto Estratégico (2)"/>
      <sheetName val="Administración de Riesgos de G"/>
      <sheetName val="Administración de Riesgos de C"/>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dos"/>
      <sheetName val="Matriz Riesgos Gestión"/>
      <sheetName val="Matriz riesgos de Corrupción"/>
      <sheetName val="Hoja1"/>
      <sheetName val="Matriz Riesgos Seg. Información"/>
      <sheetName val="CONTROLES"/>
      <sheetName val="Elementos Riesgo Corrupción"/>
      <sheetName val="Seguridad Información"/>
      <sheetName val="Probabilidad Seguridad Informac"/>
      <sheetName val="Corrupción"/>
      <sheetName val="Mapa de calor"/>
      <sheetName val="Matriz de calificación (2)"/>
    </sheetNames>
    <sheetDataSet>
      <sheetData sheetId="0">
        <row r="3">
          <cell r="M3" t="str">
            <v>Rara vezInsignificante</v>
          </cell>
          <cell r="N3" t="str">
            <v>Bajo</v>
          </cell>
        </row>
        <row r="4">
          <cell r="M4" t="str">
            <v>Rara vezMenor</v>
          </cell>
          <cell r="N4" t="str">
            <v>Bajo</v>
          </cell>
        </row>
        <row r="5">
          <cell r="M5" t="str">
            <v>Rara vezModerado</v>
          </cell>
          <cell r="N5" t="str">
            <v>Moderado</v>
          </cell>
        </row>
        <row r="6">
          <cell r="M6" t="str">
            <v>Rara vezMayor</v>
          </cell>
          <cell r="N6" t="str">
            <v>Alto</v>
          </cell>
        </row>
        <row r="7">
          <cell r="M7" t="str">
            <v>Rara vezCatastrófico</v>
          </cell>
          <cell r="N7" t="str">
            <v>Extremo</v>
          </cell>
        </row>
        <row r="8">
          <cell r="M8" t="str">
            <v>ImprobableInsignificante</v>
          </cell>
          <cell r="N8" t="str">
            <v>Bajo</v>
          </cell>
        </row>
        <row r="9">
          <cell r="M9" t="str">
            <v>ImprobableMenor</v>
          </cell>
          <cell r="N9" t="str">
            <v>Bajo</v>
          </cell>
        </row>
        <row r="10">
          <cell r="M10" t="str">
            <v>ImprobableModerado</v>
          </cell>
          <cell r="N10" t="str">
            <v>Moderado</v>
          </cell>
        </row>
        <row r="11">
          <cell r="M11" t="str">
            <v>ImprobableMayor</v>
          </cell>
          <cell r="N11" t="str">
            <v>Alto</v>
          </cell>
        </row>
        <row r="12">
          <cell r="M12" t="str">
            <v>ImprobableCatastrófico</v>
          </cell>
          <cell r="N12" t="str">
            <v>Extremo</v>
          </cell>
        </row>
        <row r="13">
          <cell r="M13" t="str">
            <v>PosibleInsignificante</v>
          </cell>
          <cell r="N13" t="str">
            <v>Bajo</v>
          </cell>
        </row>
        <row r="14">
          <cell r="M14" t="str">
            <v>PosibleMenor</v>
          </cell>
          <cell r="N14" t="str">
            <v>Moderado</v>
          </cell>
        </row>
        <row r="15">
          <cell r="M15" t="str">
            <v>PosibleModerado</v>
          </cell>
          <cell r="N15" t="str">
            <v>Alto</v>
          </cell>
        </row>
        <row r="16">
          <cell r="M16" t="str">
            <v>PosibleMayor</v>
          </cell>
          <cell r="N16" t="str">
            <v>Extremo</v>
          </cell>
        </row>
        <row r="17">
          <cell r="M17" t="str">
            <v>PosibleCatastrófico</v>
          </cell>
          <cell r="N17" t="str">
            <v>Extremo</v>
          </cell>
        </row>
        <row r="18">
          <cell r="M18" t="str">
            <v>ProbableInsignificante</v>
          </cell>
          <cell r="N18" t="str">
            <v>Moderado</v>
          </cell>
        </row>
        <row r="19">
          <cell r="M19" t="str">
            <v>ProbableMenor</v>
          </cell>
          <cell r="N19" t="str">
            <v>Alto</v>
          </cell>
        </row>
        <row r="20">
          <cell r="M20" t="str">
            <v>ProbableModerado</v>
          </cell>
          <cell r="N20" t="str">
            <v>Alto</v>
          </cell>
        </row>
        <row r="21">
          <cell r="M21" t="str">
            <v>ProbableMayor</v>
          </cell>
          <cell r="N21" t="str">
            <v>Extremo</v>
          </cell>
        </row>
        <row r="22">
          <cell r="M22" t="str">
            <v>ProbableCatastrófico</v>
          </cell>
          <cell r="N22" t="str">
            <v>Extremo</v>
          </cell>
        </row>
        <row r="23">
          <cell r="M23" t="str">
            <v>Casi seguroInsignificante</v>
          </cell>
          <cell r="N23" t="str">
            <v>Alto</v>
          </cell>
        </row>
        <row r="24">
          <cell r="M24" t="str">
            <v>Casi seguroMenor</v>
          </cell>
          <cell r="N24" t="str">
            <v>Alto</v>
          </cell>
        </row>
        <row r="25">
          <cell r="M25" t="str">
            <v>Casi seguroModerado</v>
          </cell>
          <cell r="N25" t="str">
            <v>Extremo</v>
          </cell>
        </row>
        <row r="26">
          <cell r="M26" t="str">
            <v>Casi seguroMayor</v>
          </cell>
          <cell r="N26" t="str">
            <v>Extremo</v>
          </cell>
        </row>
        <row r="27">
          <cell r="M27" t="str">
            <v>Casi seguroCatastrófico</v>
          </cell>
          <cell r="N27" t="str">
            <v>Extremo</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tables/table1.xml><?xml version="1.0" encoding="utf-8"?>
<table xmlns="http://schemas.openxmlformats.org/spreadsheetml/2006/main" id="1" name="Tabla2" displayName="Tabla2" ref="C7:G11" totalsRowShown="0">
  <autoFilter ref="C7:G11"/>
  <tableColumns count="5">
    <tableColumn id="1" name="Descripción" dataDxfId="0"/>
    <tableColumn id="2" name="Acción u omisión"/>
    <tableColumn id="3" name="Uso del poder"/>
    <tableColumn id="4" name="Desviar la gestión de lo público"/>
    <tableColumn id="5" name="Beneficio privado"/>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minjusticiagovco-my.sharepoint.com/:f:/r/personal/gobdigital_calidad_minjusticia_gov_co/Documents/GOBIERNO%20DIGITAL/VIGENCIA%202025/Calidad%202025/Mapa-Matriz%20de%20Riesgos%20gesti%C3%B3n%20y%20corrupcion/Trimestre%201/Matriz%20de%20riesgos%20gestion%20y%20corrupcion%20Primer%20trimestre%20-%20Remitido/Evidencias%20Riesgo%203?csf=1&amp;web=1&amp;e=kYXrK8"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235"/>
  <sheetViews>
    <sheetView showGridLines="0" tabSelected="1" zoomScale="80" zoomScaleNormal="80" zoomScaleSheetLayoutView="50" workbookViewId="0">
      <selection activeCell="B6" sqref="B6"/>
    </sheetView>
  </sheetViews>
  <sheetFormatPr baseColWidth="10" defaultColWidth="11.42578125" defaultRowHeight="15"/>
  <cols>
    <col min="1" max="1" width="4.85546875" style="183" customWidth="1"/>
    <col min="2" max="2" width="27.42578125" style="184" customWidth="1"/>
    <col min="3" max="3" width="39.5703125" style="15" customWidth="1"/>
    <col min="4" max="4" width="35.140625" style="17" customWidth="1"/>
    <col min="5" max="5" width="23.140625" style="17" customWidth="1"/>
    <col min="6" max="6" width="34.5703125" style="17" customWidth="1"/>
    <col min="7" max="7" width="36.140625" style="182" customWidth="1"/>
    <col min="8" max="8" width="20.85546875" style="17" customWidth="1"/>
    <col min="9" max="9" width="34.85546875" style="15" customWidth="1"/>
    <col min="10" max="10" width="12.7109375" style="18" customWidth="1"/>
    <col min="11" max="11" width="10" style="18" customWidth="1"/>
    <col min="12" max="12" width="12.42578125" style="18" customWidth="1"/>
    <col min="13" max="13" width="9.7109375" style="18" customWidth="1"/>
    <col min="14" max="14" width="11.28515625" style="18" customWidth="1"/>
    <col min="15" max="15" width="113" style="15" customWidth="1"/>
    <col min="16" max="16" width="33.7109375" style="15" customWidth="1"/>
    <col min="17" max="17" width="16.42578125" style="15" customWidth="1"/>
    <col min="18" max="18" width="15.5703125" style="15" customWidth="1"/>
    <col min="19" max="19" width="6.7109375" style="15" customWidth="1"/>
    <col min="20" max="20" width="18.28515625" style="15" customWidth="1"/>
    <col min="21" max="21" width="6.7109375" style="15" customWidth="1"/>
    <col min="22" max="22" width="24" style="15" customWidth="1"/>
    <col min="23" max="23" width="6.7109375" style="15" customWidth="1"/>
    <col min="24" max="24" width="28" style="15" customWidth="1"/>
    <col min="25" max="25" width="6.7109375" style="15" customWidth="1"/>
    <col min="26" max="26" width="20.42578125" style="15" customWidth="1"/>
    <col min="27" max="27" width="6.7109375" style="15" customWidth="1"/>
    <col min="28" max="28" width="25" style="15" customWidth="1"/>
    <col min="29" max="29" width="6.7109375" style="15" customWidth="1"/>
    <col min="30" max="30" width="23.85546875" style="15" bestFit="1" customWidth="1"/>
    <col min="31" max="31" width="6.7109375" style="15" customWidth="1"/>
    <col min="32" max="32" width="15.85546875" style="15" customWidth="1"/>
    <col min="33" max="33" width="18.5703125" style="15" customWidth="1"/>
    <col min="34" max="35" width="20.5703125" style="15" customWidth="1"/>
    <col min="36" max="38" width="15.5703125" style="15" customWidth="1"/>
    <col min="39" max="39" width="18.85546875" style="15" customWidth="1"/>
    <col min="40" max="40" width="15.5703125" style="15" customWidth="1"/>
    <col min="41" max="41" width="15.140625" style="15" customWidth="1"/>
    <col min="42" max="43" width="6.7109375" style="15" hidden="1" customWidth="1"/>
    <col min="44" max="44" width="22.28515625" style="18" customWidth="1"/>
    <col min="45" max="45" width="14.7109375" style="18" customWidth="1"/>
    <col min="46" max="46" width="19.42578125" style="15" customWidth="1"/>
    <col min="47" max="47" width="17.140625" style="15" customWidth="1"/>
    <col min="48" max="48" width="112.28515625" style="31" customWidth="1"/>
    <col min="49" max="49" width="18.85546875" style="31" customWidth="1"/>
    <col min="50" max="50" width="12" style="31" bestFit="1" customWidth="1"/>
    <col min="51" max="51" width="12.7109375" style="31" customWidth="1"/>
    <col min="52" max="52" width="21.7109375" style="31" customWidth="1"/>
    <col min="53" max="53" width="39.7109375" style="31" customWidth="1"/>
    <col min="54" max="54" width="115.28515625" style="31" customWidth="1"/>
    <col min="55" max="55" width="124.7109375" style="31" customWidth="1"/>
    <col min="56" max="56" width="21.140625" style="31" customWidth="1"/>
    <col min="57" max="57" width="100.7109375" customWidth="1"/>
    <col min="58" max="58" width="97" customWidth="1"/>
    <col min="59" max="59" width="27" customWidth="1"/>
  </cols>
  <sheetData>
    <row r="1" spans="1:59" ht="45.75" customHeight="1">
      <c r="A1" s="599" t="s">
        <v>0</v>
      </c>
      <c r="B1" s="600"/>
      <c r="C1" s="600"/>
      <c r="D1" s="600"/>
      <c r="E1" s="600"/>
      <c r="F1" s="601"/>
      <c r="G1" s="605" t="s">
        <v>1</v>
      </c>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7"/>
      <c r="AV1" s="70"/>
      <c r="AW1" s="70"/>
      <c r="AX1" s="70"/>
      <c r="AY1" s="70"/>
      <c r="AZ1" s="70"/>
      <c r="BA1" s="70"/>
      <c r="BB1" s="70"/>
      <c r="BC1" s="70"/>
      <c r="BD1" s="70"/>
      <c r="BE1" s="70"/>
      <c r="BF1" s="70"/>
      <c r="BG1" s="70"/>
    </row>
    <row r="2" spans="1:59" ht="30.75" customHeight="1">
      <c r="A2" s="599"/>
      <c r="B2" s="600"/>
      <c r="C2" s="600"/>
      <c r="D2" s="600"/>
      <c r="E2" s="600"/>
      <c r="F2" s="601"/>
      <c r="G2" s="608"/>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c r="AJ2" s="609"/>
      <c r="AK2" s="609"/>
      <c r="AL2" s="609"/>
      <c r="AM2" s="609"/>
      <c r="AN2" s="609"/>
      <c r="AO2" s="609"/>
      <c r="AP2" s="609"/>
      <c r="AQ2" s="609"/>
      <c r="AR2" s="609"/>
      <c r="AS2" s="609"/>
      <c r="AT2" s="609"/>
      <c r="AU2" s="610"/>
      <c r="AV2" s="70"/>
      <c r="AW2" s="70"/>
      <c r="AX2" s="70"/>
      <c r="AY2" s="70"/>
      <c r="AZ2" s="70"/>
      <c r="BA2" s="70"/>
      <c r="BB2" s="70"/>
      <c r="BC2" s="70"/>
      <c r="BD2" s="70"/>
      <c r="BE2" s="70"/>
      <c r="BF2" s="70"/>
      <c r="BG2" s="70"/>
    </row>
    <row r="3" spans="1:59" ht="13.5" customHeight="1" thickBot="1">
      <c r="A3" s="602"/>
      <c r="B3" s="603"/>
      <c r="C3" s="603"/>
      <c r="D3" s="603"/>
      <c r="E3" s="603"/>
      <c r="F3" s="604"/>
      <c r="G3" s="608"/>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9"/>
      <c r="AQ3" s="609"/>
      <c r="AR3" s="609"/>
      <c r="AS3" s="609"/>
      <c r="AT3" s="609"/>
      <c r="AU3" s="610"/>
      <c r="AV3" s="70"/>
      <c r="AW3" s="70"/>
      <c r="AX3" s="70"/>
      <c r="AY3" s="70"/>
      <c r="AZ3" s="70"/>
      <c r="BA3" s="70"/>
      <c r="BB3" s="70"/>
      <c r="BC3" s="70"/>
      <c r="BD3" s="70"/>
      <c r="BE3" s="70"/>
      <c r="BF3" s="70"/>
      <c r="BG3" s="70"/>
    </row>
    <row r="4" spans="1:59" ht="29.25" customHeight="1">
      <c r="A4" s="619" t="s">
        <v>2</v>
      </c>
      <c r="B4" s="620"/>
      <c r="C4" s="620"/>
      <c r="D4" s="620"/>
      <c r="E4" s="620"/>
      <c r="F4" s="620"/>
      <c r="G4" s="620"/>
      <c r="H4" s="620"/>
      <c r="I4" s="620"/>
      <c r="J4" s="623" t="s">
        <v>3</v>
      </c>
      <c r="K4" s="623"/>
      <c r="L4" s="623"/>
      <c r="M4" s="623"/>
      <c r="N4" s="623"/>
      <c r="O4" s="623" t="s">
        <v>4</v>
      </c>
      <c r="P4" s="623"/>
      <c r="Q4" s="623"/>
      <c r="R4" s="623"/>
      <c r="S4" s="623"/>
      <c r="T4" s="623"/>
      <c r="U4" s="623"/>
      <c r="V4" s="623"/>
      <c r="W4" s="623"/>
      <c r="X4" s="623"/>
      <c r="Y4" s="623"/>
      <c r="Z4" s="623"/>
      <c r="AA4" s="623"/>
      <c r="AB4" s="623"/>
      <c r="AC4" s="623"/>
      <c r="AD4" s="623"/>
      <c r="AE4" s="623"/>
      <c r="AF4" s="623"/>
      <c r="AG4" s="623"/>
      <c r="AH4" s="623"/>
      <c r="AI4" s="623"/>
      <c r="AJ4" s="623"/>
      <c r="AK4" s="623"/>
      <c r="AL4" s="623"/>
      <c r="AM4" s="623"/>
      <c r="AN4" s="623"/>
      <c r="AO4" s="623"/>
      <c r="AP4" s="623"/>
      <c r="AQ4" s="623"/>
      <c r="AR4" s="623"/>
      <c r="AS4" s="623"/>
      <c r="AT4" s="623"/>
      <c r="AU4" s="611" t="s">
        <v>5</v>
      </c>
      <c r="AV4" s="633" t="s">
        <v>6</v>
      </c>
      <c r="AW4" s="633"/>
      <c r="AX4" s="633"/>
      <c r="AY4" s="633"/>
      <c r="AZ4" s="633"/>
      <c r="BA4" s="633"/>
      <c r="BB4" s="634" t="s">
        <v>7</v>
      </c>
      <c r="BC4" s="633"/>
      <c r="BD4" s="633"/>
      <c r="BE4" s="634" t="s">
        <v>8</v>
      </c>
      <c r="BF4" s="633"/>
      <c r="BG4" s="633"/>
    </row>
    <row r="5" spans="1:59" ht="14.25" customHeight="1" thickBot="1">
      <c r="A5" s="621"/>
      <c r="B5" s="622"/>
      <c r="C5" s="622"/>
      <c r="D5" s="622"/>
      <c r="E5" s="622"/>
      <c r="F5" s="622"/>
      <c r="G5" s="622"/>
      <c r="H5" s="622"/>
      <c r="I5" s="622"/>
      <c r="J5" s="612" t="s">
        <v>9</v>
      </c>
      <c r="K5" s="612"/>
      <c r="L5" s="612"/>
      <c r="M5" s="612"/>
      <c r="N5" s="612"/>
      <c r="O5" s="613" t="s">
        <v>10</v>
      </c>
      <c r="P5" s="614"/>
      <c r="Q5" s="615"/>
      <c r="R5" s="613" t="s">
        <v>11</v>
      </c>
      <c r="S5" s="614"/>
      <c r="T5" s="614"/>
      <c r="U5" s="614"/>
      <c r="V5" s="614"/>
      <c r="W5" s="614"/>
      <c r="X5" s="614"/>
      <c r="Y5" s="614"/>
      <c r="Z5" s="614"/>
      <c r="AA5" s="614"/>
      <c r="AB5" s="614"/>
      <c r="AC5" s="614"/>
      <c r="AD5" s="614"/>
      <c r="AE5" s="614"/>
      <c r="AF5" s="614"/>
      <c r="AG5" s="615"/>
      <c r="AH5" s="616" t="s">
        <v>12</v>
      </c>
      <c r="AI5" s="617"/>
      <c r="AJ5" s="616" t="s">
        <v>13</v>
      </c>
      <c r="AK5" s="618"/>
      <c r="AL5" s="616" t="s">
        <v>14</v>
      </c>
      <c r="AM5" s="618"/>
      <c r="AN5" s="220"/>
      <c r="AO5" s="220"/>
      <c r="AP5" s="220"/>
      <c r="AQ5" s="220"/>
      <c r="AR5" s="612" t="s">
        <v>15</v>
      </c>
      <c r="AS5" s="612"/>
      <c r="AT5" s="612"/>
      <c r="AU5" s="612"/>
      <c r="AV5" s="622"/>
      <c r="AW5" s="622"/>
      <c r="AX5" s="622"/>
      <c r="AY5" s="622"/>
      <c r="AZ5" s="622"/>
      <c r="BA5" s="622"/>
      <c r="BB5" s="622"/>
      <c r="BC5" s="622"/>
      <c r="BD5" s="622"/>
      <c r="BE5" s="622"/>
      <c r="BF5" s="622"/>
      <c r="BG5" s="622"/>
    </row>
    <row r="6" spans="1:59" ht="111.75" customHeight="1" thickBot="1">
      <c r="A6" s="109" t="s">
        <v>16</v>
      </c>
      <c r="B6" s="108" t="s">
        <v>17</v>
      </c>
      <c r="C6" s="108" t="s">
        <v>18</v>
      </c>
      <c r="D6" s="108" t="s">
        <v>19</v>
      </c>
      <c r="E6" s="108" t="s">
        <v>20</v>
      </c>
      <c r="F6" s="108" t="s">
        <v>21</v>
      </c>
      <c r="G6" s="108" t="s">
        <v>22</v>
      </c>
      <c r="H6" s="215" t="s">
        <v>23</v>
      </c>
      <c r="I6" s="108" t="s">
        <v>24</v>
      </c>
      <c r="J6" s="110" t="s">
        <v>25</v>
      </c>
      <c r="K6" s="110"/>
      <c r="L6" s="110" t="s">
        <v>26</v>
      </c>
      <c r="M6" s="110"/>
      <c r="N6" s="110" t="s">
        <v>27</v>
      </c>
      <c r="O6" s="108" t="s">
        <v>28</v>
      </c>
      <c r="P6" s="208" t="s">
        <v>29</v>
      </c>
      <c r="Q6" s="108" t="s">
        <v>30</v>
      </c>
      <c r="R6" s="108" t="s">
        <v>31</v>
      </c>
      <c r="S6" s="108"/>
      <c r="T6" s="108" t="s">
        <v>32</v>
      </c>
      <c r="U6" s="108"/>
      <c r="V6" s="108" t="s">
        <v>33</v>
      </c>
      <c r="W6" s="108"/>
      <c r="X6" s="108" t="s">
        <v>34</v>
      </c>
      <c r="Y6" s="108"/>
      <c r="Z6" s="108" t="s">
        <v>35</v>
      </c>
      <c r="AA6" s="108"/>
      <c r="AB6" s="108" t="s">
        <v>36</v>
      </c>
      <c r="AC6" s="108"/>
      <c r="AD6" s="108" t="s">
        <v>37</v>
      </c>
      <c r="AE6" s="108"/>
      <c r="AF6" s="108" t="s">
        <v>38</v>
      </c>
      <c r="AG6" s="108" t="s">
        <v>39</v>
      </c>
      <c r="AH6" s="108" t="s">
        <v>40</v>
      </c>
      <c r="AI6" s="108" t="s">
        <v>41</v>
      </c>
      <c r="AJ6" s="108" t="s">
        <v>42</v>
      </c>
      <c r="AK6" s="108" t="s">
        <v>43</v>
      </c>
      <c r="AL6" s="108" t="s">
        <v>44</v>
      </c>
      <c r="AM6" s="108" t="s">
        <v>45</v>
      </c>
      <c r="AN6" s="108" t="s">
        <v>46</v>
      </c>
      <c r="AO6" s="108" t="s">
        <v>47</v>
      </c>
      <c r="AP6" s="108"/>
      <c r="AQ6" s="108"/>
      <c r="AR6" s="108" t="s">
        <v>25</v>
      </c>
      <c r="AS6" s="108" t="s">
        <v>26</v>
      </c>
      <c r="AT6" s="108" t="s">
        <v>27</v>
      </c>
      <c r="AU6" s="108" t="s">
        <v>48</v>
      </c>
      <c r="AV6" s="108" t="s">
        <v>49</v>
      </c>
      <c r="AW6" s="108" t="s">
        <v>50</v>
      </c>
      <c r="AX6" s="108" t="s">
        <v>51</v>
      </c>
      <c r="AY6" s="108" t="s">
        <v>52</v>
      </c>
      <c r="AZ6" s="108" t="s">
        <v>53</v>
      </c>
      <c r="BA6" s="108" t="s">
        <v>54</v>
      </c>
      <c r="BB6" s="108" t="s">
        <v>55</v>
      </c>
      <c r="BC6" s="108" t="s">
        <v>56</v>
      </c>
      <c r="BD6" s="108" t="s">
        <v>57</v>
      </c>
      <c r="BE6" s="108" t="s">
        <v>58</v>
      </c>
      <c r="BF6" s="108" t="s">
        <v>59</v>
      </c>
      <c r="BG6" s="112" t="s">
        <v>60</v>
      </c>
    </row>
    <row r="7" spans="1:59" ht="99.75">
      <c r="A7" s="635">
        <v>1</v>
      </c>
      <c r="B7" s="638" t="s">
        <v>61</v>
      </c>
      <c r="C7" s="641" t="s">
        <v>62</v>
      </c>
      <c r="D7" s="584" t="s">
        <v>63</v>
      </c>
      <c r="E7" s="584" t="s">
        <v>64</v>
      </c>
      <c r="F7" s="584" t="s">
        <v>65</v>
      </c>
      <c r="G7" s="92" t="s">
        <v>66</v>
      </c>
      <c r="H7" s="91" t="s">
        <v>67</v>
      </c>
      <c r="I7" s="92" t="s">
        <v>68</v>
      </c>
      <c r="J7" s="624" t="s">
        <v>69</v>
      </c>
      <c r="K7" s="632">
        <f>+VLOOKUP(J7,Listados!$K$8:$L$12,2,0)</f>
        <v>5</v>
      </c>
      <c r="L7" s="571" t="s">
        <v>70</v>
      </c>
      <c r="M7" s="632">
        <f>+VLOOKUP(L7,Listados!$K$13:$L$17,2,0)</f>
        <v>2</v>
      </c>
      <c r="N7" s="632" t="str">
        <f>IF(AND(J7&lt;&gt;"",L7&lt;&gt;""),VLOOKUP(J7&amp;L7,Listados!$M$3:$N$27,2,FALSE),"")</f>
        <v>Alto</v>
      </c>
      <c r="O7" s="92" t="s">
        <v>71</v>
      </c>
      <c r="P7" s="105" t="s">
        <v>66</v>
      </c>
      <c r="Q7" s="106" t="s">
        <v>72</v>
      </c>
      <c r="R7" s="94" t="s">
        <v>73</v>
      </c>
      <c r="S7" s="93">
        <f>+IF(R7="si",15,"0")</f>
        <v>15</v>
      </c>
      <c r="T7" s="94" t="s">
        <v>73</v>
      </c>
      <c r="U7" s="93">
        <f>+IF(T7="si",15,"0")</f>
        <v>15</v>
      </c>
      <c r="V7" s="94" t="s">
        <v>73</v>
      </c>
      <c r="W7" s="93">
        <f>+IF(V7="si",15,"0")</f>
        <v>15</v>
      </c>
      <c r="X7" s="94" t="s">
        <v>72</v>
      </c>
      <c r="Y7" s="93">
        <f>+IF(X7="Preventivo",15,IF(X7="Detectivo",10,"0"))</f>
        <v>15</v>
      </c>
      <c r="Z7" s="94" t="s">
        <v>73</v>
      </c>
      <c r="AA7" s="93">
        <f>+IF(Z7="si",15,"0")</f>
        <v>15</v>
      </c>
      <c r="AB7" s="94" t="s">
        <v>73</v>
      </c>
      <c r="AC7" s="93">
        <f>+IF(AB7="si",15,"0")</f>
        <v>15</v>
      </c>
      <c r="AD7" s="94" t="s">
        <v>74</v>
      </c>
      <c r="AE7" s="93">
        <f>+IF(AD7="Completa",10,IF(AD7="Incompleta",5,"0"))</f>
        <v>10</v>
      </c>
      <c r="AF7" s="96">
        <f>IF((SUM(S7,U7,W7,Y7,AA7,AC7,AE7)=0),"",(SUM(S7,U7,W7,Y7,AA7,AC7,AE7)))</f>
        <v>100</v>
      </c>
      <c r="AG7" s="96" t="str">
        <f>IF(AF7&lt;=85,"Débil",IF(AF7&lt;=95,"Moderado",IF(AF7=100,"Fuerte","")))</f>
        <v>Fuerte</v>
      </c>
      <c r="AH7" s="107" t="s">
        <v>75</v>
      </c>
      <c r="AI7" s="96" t="str">
        <f>+IF(AH7="siempre","Fuerte",IF(AH7="Algunas veces","Moderado",IF(AH7="No se ejecuta","Débil","")))</f>
        <v>Fuerte</v>
      </c>
      <c r="AJ7" s="96" t="str">
        <f>IFERROR(VLOOKUP((CONCATENATE(AG7,AI7)),Listados!$U$3:$V$11,2,FALSE),"")</f>
        <v>Fuerte</v>
      </c>
      <c r="AK7" s="96">
        <f>IF(AJ7="","",IF(AJ7="Débil", 0, IF(AJ7="Moderado",50,100)))</f>
        <v>100</v>
      </c>
      <c r="AL7" s="566">
        <f>AVERAGE(AK7:AK10)</f>
        <v>100</v>
      </c>
      <c r="AM7" s="566" t="str">
        <f>IF(AL7&lt;=50,"Débil",IF(AL7&lt;=99,"Moderado",IF(AL7=100,"fuerte","")))</f>
        <v>fuerte</v>
      </c>
      <c r="AN7" s="96">
        <f>+IF(AND(Q7="Preventivo",AM7="Fuerte"),2,IF(AND(Q7="Preventivo",AM7="Moderado"),1,0))</f>
        <v>2</v>
      </c>
      <c r="AO7" s="96">
        <f>+IF(AND(Q7="Detectivo",$AM7="Fuerte"),2,IF(AND(Q7="Detectivo",$AM7="Moderado"),1,IF(AND(Q7="Preventivo",$AM7="Fuerte"),1,0)))</f>
        <v>1</v>
      </c>
      <c r="AP7" s="96">
        <f>+K7-AN7</f>
        <v>3</v>
      </c>
      <c r="AQ7" s="96">
        <f>+M7-AO7</f>
        <v>1</v>
      </c>
      <c r="AR7" s="632" t="str">
        <f>+VLOOKUP(MIN(AP7:AP9),Listados!$J$18:$K$24,2,TRUE)</f>
        <v>Posible</v>
      </c>
      <c r="AS7" s="632" t="str">
        <f>+VLOOKUP(MIN(AQ7),Listados!$J$26:$K$32,2,TRUE)</f>
        <v>Insignificante</v>
      </c>
      <c r="AT7" s="632" t="str">
        <f>IF(AND(AR7&lt;&gt;"",AS7&lt;&gt;""),VLOOKUP(AR7&amp;AS7,Listados!$M$3:$N$27,2,FALSE),"")</f>
        <v>Bajo</v>
      </c>
      <c r="AU7" s="632" t="str">
        <f>+VLOOKUP(AT7,Listados!$P$3:$Q$6,2,FALSE)</f>
        <v>Asumir el riesgo</v>
      </c>
      <c r="AV7" s="97"/>
      <c r="AW7" s="97"/>
      <c r="AX7" s="98"/>
      <c r="AY7" s="99"/>
      <c r="AZ7" s="97"/>
      <c r="BA7" s="97"/>
      <c r="BB7" s="786" t="s">
        <v>76</v>
      </c>
      <c r="BC7" s="786" t="s">
        <v>77</v>
      </c>
      <c r="BD7" s="789"/>
      <c r="BE7" s="644" t="s">
        <v>78</v>
      </c>
      <c r="BF7" s="647" t="s">
        <v>1599</v>
      </c>
      <c r="BG7" s="650"/>
    </row>
    <row r="8" spans="1:59" ht="114">
      <c r="A8" s="636"/>
      <c r="B8" s="639"/>
      <c r="C8" s="642"/>
      <c r="D8" s="572"/>
      <c r="E8" s="572"/>
      <c r="F8" s="572"/>
      <c r="G8" s="329" t="s">
        <v>79</v>
      </c>
      <c r="H8" s="328" t="s">
        <v>67</v>
      </c>
      <c r="I8" s="329" t="s">
        <v>80</v>
      </c>
      <c r="J8" s="579"/>
      <c r="K8" s="582"/>
      <c r="L8" s="580"/>
      <c r="M8" s="582"/>
      <c r="N8" s="582"/>
      <c r="O8" s="90" t="s">
        <v>81</v>
      </c>
      <c r="P8" s="330" t="s">
        <v>79</v>
      </c>
      <c r="Q8" s="331" t="s">
        <v>72</v>
      </c>
      <c r="R8" s="332" t="s">
        <v>73</v>
      </c>
      <c r="S8" s="333">
        <f t="shared" ref="S8:S11" si="0">+IF(R8="si",15,"0")</f>
        <v>15</v>
      </c>
      <c r="T8" s="332" t="s">
        <v>73</v>
      </c>
      <c r="U8" s="333">
        <f t="shared" ref="U8:U11" si="1">+IF(T8="si",15,"0")</f>
        <v>15</v>
      </c>
      <c r="V8" s="332" t="s">
        <v>73</v>
      </c>
      <c r="W8" s="333">
        <f t="shared" ref="W8:W11" si="2">+IF(V8="si",15,"0")</f>
        <v>15</v>
      </c>
      <c r="X8" s="332" t="s">
        <v>72</v>
      </c>
      <c r="Y8" s="333">
        <f t="shared" ref="Y8:Y11" si="3">+IF(X8="Preventivo",15,IF(X8="Detectivo",10,"0"))</f>
        <v>15</v>
      </c>
      <c r="Z8" s="332" t="s">
        <v>73</v>
      </c>
      <c r="AA8" s="333">
        <f t="shared" ref="AA8:AA11" si="4">+IF(Z8="si",15,"0")</f>
        <v>15</v>
      </c>
      <c r="AB8" s="332" t="s">
        <v>73</v>
      </c>
      <c r="AC8" s="333">
        <f t="shared" ref="AC8:AC11" si="5">+IF(AB8="si",15,"0")</f>
        <v>15</v>
      </c>
      <c r="AD8" s="332" t="s">
        <v>74</v>
      </c>
      <c r="AE8" s="333">
        <f t="shared" ref="AE8:AE11" si="6">+IF(AD8="Completa",10,IF(AD8="Incompleta",5,"0"))</f>
        <v>10</v>
      </c>
      <c r="AF8" s="334">
        <f t="shared" ref="AF8:AF11" si="7">IF((SUM(S8,U8,W8,Y8,AA8,AC8,AE8)=0),"",(SUM(S8,U8,W8,Y8,AA8,AC8,AE8)))</f>
        <v>100</v>
      </c>
      <c r="AG8" s="71" t="str">
        <f t="shared" ref="AG8:AG11" si="8">IF(AF8&lt;=85,"Débil",IF(AF8&lt;=95,"Moderado",IF(AF8=100,"Fuerte","")))</f>
        <v>Fuerte</v>
      </c>
      <c r="AH8" s="335" t="s">
        <v>75</v>
      </c>
      <c r="AI8" s="334" t="str">
        <f t="shared" ref="AI8:AI11" si="9">+IF(AH8="siempre","Fuerte",IF(AH8="Algunas veces","Moderado",IF(AH8="No se ejecuta","Débil","")))</f>
        <v>Fuerte</v>
      </c>
      <c r="AJ8" s="334" t="str">
        <f>IFERROR(VLOOKUP((CONCATENATE(AG8,AI8)),Listados!$U$3:$V$11,2,FALSE),"")</f>
        <v>Fuerte</v>
      </c>
      <c r="AK8" s="334">
        <f t="shared" ref="AK8:AK11" si="10">IF(AJ8="","",IF(AJ8="Débil", 0, IF(AJ8="Moderado",50,100)))</f>
        <v>100</v>
      </c>
      <c r="AL8" s="567"/>
      <c r="AM8" s="567"/>
      <c r="AN8" s="334">
        <f>+IF(AND(Q8="Preventivo",AM7="Fuerte"),2,IF(AND(Q8="Preventivo",AM7="Moderado"),1,0))</f>
        <v>2</v>
      </c>
      <c r="AO8" s="334">
        <f>+IF(AND(Q8="Detectivo",$AM7="Fuerte"),2,IF(AND(Q8="Detectivo",$AM7="Moderado"),1,IF(AND(Q8="Preventivo",$AM7="Fuerte"),1,0)))</f>
        <v>1</v>
      </c>
      <c r="AP8" s="334">
        <f>+K7-AN8</f>
        <v>3</v>
      </c>
      <c r="AQ8" s="334">
        <f>+M7-AO8</f>
        <v>1</v>
      </c>
      <c r="AR8" s="582"/>
      <c r="AS8" s="582"/>
      <c r="AT8" s="582"/>
      <c r="AU8" s="582"/>
      <c r="AV8" s="336"/>
      <c r="AW8" s="336"/>
      <c r="AX8" s="336"/>
      <c r="AY8" s="336"/>
      <c r="AZ8" s="336"/>
      <c r="BA8" s="336"/>
      <c r="BB8" s="787"/>
      <c r="BC8" s="787"/>
      <c r="BD8" s="790"/>
      <c r="BE8" s="645"/>
      <c r="BF8" s="648"/>
      <c r="BG8" s="651"/>
    </row>
    <row r="9" spans="1:59" ht="85.5">
      <c r="A9" s="636"/>
      <c r="B9" s="639"/>
      <c r="C9" s="642"/>
      <c r="D9" s="572"/>
      <c r="E9" s="572"/>
      <c r="F9" s="572"/>
      <c r="G9" s="329"/>
      <c r="H9" s="337"/>
      <c r="I9" s="337"/>
      <c r="J9" s="579"/>
      <c r="K9" s="582"/>
      <c r="L9" s="580"/>
      <c r="M9" s="582"/>
      <c r="N9" s="582"/>
      <c r="O9" s="90" t="s">
        <v>82</v>
      </c>
      <c r="P9" s="338" t="s">
        <v>79</v>
      </c>
      <c r="Q9" s="332" t="s">
        <v>83</v>
      </c>
      <c r="R9" s="332" t="s">
        <v>73</v>
      </c>
      <c r="S9" s="333">
        <f t="shared" si="0"/>
        <v>15</v>
      </c>
      <c r="T9" s="332" t="s">
        <v>73</v>
      </c>
      <c r="U9" s="333">
        <f t="shared" si="1"/>
        <v>15</v>
      </c>
      <c r="V9" s="332" t="s">
        <v>73</v>
      </c>
      <c r="W9" s="333">
        <f t="shared" si="2"/>
        <v>15</v>
      </c>
      <c r="X9" s="332" t="s">
        <v>72</v>
      </c>
      <c r="Y9" s="333">
        <f t="shared" si="3"/>
        <v>15</v>
      </c>
      <c r="Z9" s="332" t="s">
        <v>73</v>
      </c>
      <c r="AA9" s="333">
        <f t="shared" si="4"/>
        <v>15</v>
      </c>
      <c r="AB9" s="332" t="s">
        <v>73</v>
      </c>
      <c r="AC9" s="333">
        <f t="shared" si="5"/>
        <v>15</v>
      </c>
      <c r="AD9" s="332" t="s">
        <v>74</v>
      </c>
      <c r="AE9" s="333">
        <f t="shared" si="6"/>
        <v>10</v>
      </c>
      <c r="AF9" s="334">
        <f t="shared" si="7"/>
        <v>100</v>
      </c>
      <c r="AG9" s="71" t="str">
        <f t="shared" si="8"/>
        <v>Fuerte</v>
      </c>
      <c r="AH9" s="335" t="s">
        <v>75</v>
      </c>
      <c r="AI9" s="334" t="str">
        <f t="shared" si="9"/>
        <v>Fuerte</v>
      </c>
      <c r="AJ9" s="334" t="str">
        <f>IFERROR(VLOOKUP((CONCATENATE(AG9,AI9)),Listados!$U$3:$V$11,2,FALSE),"")</f>
        <v>Fuerte</v>
      </c>
      <c r="AK9" s="334">
        <f t="shared" si="10"/>
        <v>100</v>
      </c>
      <c r="AL9" s="567"/>
      <c r="AM9" s="567"/>
      <c r="AN9" s="334">
        <f>+IF(AND(Q9="Preventivo",AM7="Fuerte"),2,IF(AND(Q9="Preventivo",AM7="Moderado"),1,0))</f>
        <v>0</v>
      </c>
      <c r="AO9" s="334">
        <f>+IF(AND(Q8="Detectivo",$AM7="Fuerte"),2,IF(AND(Q8="Detectivo",$AM7="Moderado"),1,IF(AND(Q8="Preventivo",$AM7="Fuerte"),1,0)))</f>
        <v>1</v>
      </c>
      <c r="AP9" s="334">
        <f>+K7-AN9</f>
        <v>5</v>
      </c>
      <c r="AQ9" s="334">
        <f>+M7-AO9</f>
        <v>1</v>
      </c>
      <c r="AR9" s="582"/>
      <c r="AS9" s="582"/>
      <c r="AT9" s="582"/>
      <c r="AU9" s="582"/>
      <c r="AV9" s="336"/>
      <c r="AW9" s="336"/>
      <c r="AX9" s="339"/>
      <c r="AY9" s="339"/>
      <c r="AZ9" s="336"/>
      <c r="BA9" s="336"/>
      <c r="BB9" s="787"/>
      <c r="BC9" s="787"/>
      <c r="BD9" s="790"/>
      <c r="BE9" s="645"/>
      <c r="BF9" s="648"/>
      <c r="BG9" s="651"/>
    </row>
    <row r="10" spans="1:59" ht="68.25" customHeight="1">
      <c r="A10" s="637"/>
      <c r="B10" s="640"/>
      <c r="C10" s="643"/>
      <c r="D10" s="586"/>
      <c r="E10" s="586"/>
      <c r="F10" s="586"/>
      <c r="G10" s="256"/>
      <c r="H10" s="257"/>
      <c r="I10" s="257"/>
      <c r="J10" s="549"/>
      <c r="K10" s="583"/>
      <c r="L10" s="581"/>
      <c r="M10" s="583"/>
      <c r="N10" s="583"/>
      <c r="O10" s="258"/>
      <c r="P10" s="259"/>
      <c r="Q10" s="260"/>
      <c r="R10" s="260"/>
      <c r="S10" s="261" t="str">
        <f t="shared" si="0"/>
        <v>0</v>
      </c>
      <c r="T10" s="260"/>
      <c r="U10" s="261" t="str">
        <f t="shared" si="1"/>
        <v>0</v>
      </c>
      <c r="V10" s="260"/>
      <c r="W10" s="261" t="str">
        <f t="shared" si="2"/>
        <v>0</v>
      </c>
      <c r="X10" s="260"/>
      <c r="Y10" s="261" t="str">
        <f t="shared" si="3"/>
        <v>0</v>
      </c>
      <c r="Z10" s="260"/>
      <c r="AA10" s="261" t="str">
        <f t="shared" si="4"/>
        <v>0</v>
      </c>
      <c r="AB10" s="260"/>
      <c r="AC10" s="261" t="str">
        <f t="shared" si="5"/>
        <v>0</v>
      </c>
      <c r="AD10" s="260"/>
      <c r="AE10" s="261" t="str">
        <f t="shared" si="6"/>
        <v>0</v>
      </c>
      <c r="AF10" s="262" t="str">
        <f t="shared" si="7"/>
        <v/>
      </c>
      <c r="AG10" s="103" t="str">
        <f t="shared" si="8"/>
        <v/>
      </c>
      <c r="AH10" s="263"/>
      <c r="AI10" s="262" t="str">
        <f t="shared" si="9"/>
        <v/>
      </c>
      <c r="AJ10" s="262" t="str">
        <f>IFERROR(VLOOKUP((CONCATENATE(AG10,AI10)),Listados!$U$3:$V$11,2,FALSE),"")</f>
        <v/>
      </c>
      <c r="AK10" s="262" t="str">
        <f t="shared" si="10"/>
        <v/>
      </c>
      <c r="AL10" s="568"/>
      <c r="AM10" s="568"/>
      <c r="AN10" s="262">
        <f>+IF(AND(Q10="Preventivo",AM8="Fuerte"),2,IF(AND(Q10="Preventivo",AM8="Moderado"),1,0))</f>
        <v>0</v>
      </c>
      <c r="AO10" s="262">
        <f>+IF(AND(Q9="Detectivo",$AM8="Fuerte"),2,IF(AND(Q9="Detectivo",$AM8="Moderado"),1,IF(AND(Q9="Preventivo",$AM8="Fuerte"),1,0)))</f>
        <v>0</v>
      </c>
      <c r="AP10" s="262">
        <f>+K8-AN10</f>
        <v>0</v>
      </c>
      <c r="AQ10" s="262">
        <f>+M8-AO10</f>
        <v>0</v>
      </c>
      <c r="AR10" s="583"/>
      <c r="AS10" s="583"/>
      <c r="AT10" s="583"/>
      <c r="AU10" s="583"/>
      <c r="AV10" s="249"/>
      <c r="AW10" s="249"/>
      <c r="AX10" s="250"/>
      <c r="AY10" s="250"/>
      <c r="AZ10" s="249"/>
      <c r="BA10" s="249"/>
      <c r="BB10" s="788"/>
      <c r="BC10" s="788"/>
      <c r="BD10" s="791"/>
      <c r="BE10" s="646"/>
      <c r="BF10" s="649"/>
      <c r="BG10" s="652"/>
    </row>
    <row r="11" spans="1:59" ht="60" customHeight="1">
      <c r="A11" s="635">
        <v>2</v>
      </c>
      <c r="B11" s="638" t="s">
        <v>61</v>
      </c>
      <c r="C11" s="641" t="s">
        <v>62</v>
      </c>
      <c r="D11" s="584" t="s">
        <v>84</v>
      </c>
      <c r="E11" s="584" t="s">
        <v>85</v>
      </c>
      <c r="F11" s="584" t="s">
        <v>65</v>
      </c>
      <c r="G11" s="92" t="s">
        <v>86</v>
      </c>
      <c r="H11" s="91" t="s">
        <v>67</v>
      </c>
      <c r="I11" s="624" t="s">
        <v>87</v>
      </c>
      <c r="J11" s="584" t="s">
        <v>88</v>
      </c>
      <c r="K11" s="569">
        <f>+VLOOKUP(J11,Listados!$K$8:$L$12,2,0)</f>
        <v>3</v>
      </c>
      <c r="L11" s="585" t="s">
        <v>89</v>
      </c>
      <c r="M11" s="569">
        <f>+VLOOKUP(L11,Listados!$K$13:$L$17,2,0)</f>
        <v>3</v>
      </c>
      <c r="N11" s="569" t="str">
        <f>IF(AND(J11&lt;&gt;"",L11&lt;&gt;""),VLOOKUP(J11&amp;L11,Listados!$M$3:$N$27,2,FALSE),"")</f>
        <v>Alto</v>
      </c>
      <c r="O11" s="627" t="s">
        <v>90</v>
      </c>
      <c r="P11" s="181" t="s">
        <v>86</v>
      </c>
      <c r="Q11" s="631" t="s">
        <v>83</v>
      </c>
      <c r="R11" s="571" t="s">
        <v>73</v>
      </c>
      <c r="S11" s="632">
        <f t="shared" si="0"/>
        <v>15</v>
      </c>
      <c r="T11" s="571" t="s">
        <v>73</v>
      </c>
      <c r="U11" s="632">
        <f t="shared" si="1"/>
        <v>15</v>
      </c>
      <c r="V11" s="571" t="s">
        <v>73</v>
      </c>
      <c r="W11" s="632">
        <f t="shared" si="2"/>
        <v>15</v>
      </c>
      <c r="X11" s="571" t="s">
        <v>72</v>
      </c>
      <c r="Y11" s="632">
        <f t="shared" si="3"/>
        <v>15</v>
      </c>
      <c r="Z11" s="571" t="s">
        <v>73</v>
      </c>
      <c r="AA11" s="632">
        <f t="shared" si="4"/>
        <v>15</v>
      </c>
      <c r="AB11" s="571" t="s">
        <v>73</v>
      </c>
      <c r="AC11" s="632">
        <f t="shared" si="5"/>
        <v>15</v>
      </c>
      <c r="AD11" s="571" t="s">
        <v>74</v>
      </c>
      <c r="AE11" s="632">
        <f t="shared" si="6"/>
        <v>10</v>
      </c>
      <c r="AF11" s="566">
        <f t="shared" si="7"/>
        <v>100</v>
      </c>
      <c r="AG11" s="566" t="str">
        <f t="shared" si="8"/>
        <v>Fuerte</v>
      </c>
      <c r="AH11" s="850" t="s">
        <v>75</v>
      </c>
      <c r="AI11" s="566" t="str">
        <f t="shared" si="9"/>
        <v>Fuerte</v>
      </c>
      <c r="AJ11" s="566" t="str">
        <f>IFERROR(VLOOKUP((CONCATENATE(AG11,AI11)),Listados!$U$3:$V$11,2,FALSE),"")</f>
        <v>Fuerte</v>
      </c>
      <c r="AK11" s="566">
        <f t="shared" si="10"/>
        <v>100</v>
      </c>
      <c r="AL11" s="559">
        <f t="shared" ref="AL11" si="11">AVERAGE(AK11:AK15)</f>
        <v>100</v>
      </c>
      <c r="AM11" s="559" t="str">
        <f t="shared" ref="AM11" si="12">IF(AL11&lt;=50,"Débil",IF(AL11&lt;=99,"Moderado",IF(AL11=100,"fuerte","")))</f>
        <v>fuerte</v>
      </c>
      <c r="AN11" s="566">
        <f>+IF(AND(Q11="Preventivo",AM11="Fuerte"),2,IF(AND(Q11="Preventivo",AM11="Moderado"),1,0))</f>
        <v>0</v>
      </c>
      <c r="AO11" s="566">
        <f t="shared" ref="AO11" si="13">+IF(AND(Q11="Detectivo",$AM11="Fuerte"),2,IF(AND(Q11="Detectivo",$AM11="Moderado"),1,IF(AND(Q11="Preventivo",$AM11="Fuerte"),1,0)))</f>
        <v>2</v>
      </c>
      <c r="AP11" s="566">
        <f t="shared" ref="AP11" si="14">+K11-AN11</f>
        <v>3</v>
      </c>
      <c r="AQ11" s="566">
        <f t="shared" ref="AQ11" si="15">+M11-AO11</f>
        <v>1</v>
      </c>
      <c r="AR11" s="569" t="str">
        <f>+VLOOKUP(MIN(AP11:AP14),Listados!$J$18:$K$24,2,TRUE)</f>
        <v>Rara Vez</v>
      </c>
      <c r="AS11" s="569" t="str">
        <f>+VLOOKUP(MIN(AQ11),Listados!$J$26:$K$32,2,TRUE)</f>
        <v>Insignificante</v>
      </c>
      <c r="AT11" s="569" t="str">
        <f>IF(AND(AR11&lt;&gt;"",AS11&lt;&gt;""),VLOOKUP(AR11&amp;AS11,Listados!$M$3:$N$27,2,FALSE),"")</f>
        <v>Bajo</v>
      </c>
      <c r="AU11" s="569" t="str">
        <f>+VLOOKUP(AT11,Listados!$P$3:$Q$6,2,FALSE)</f>
        <v>Asumir el riesgo</v>
      </c>
      <c r="AV11" s="97"/>
      <c r="AW11" s="97"/>
      <c r="AX11" s="98"/>
      <c r="AY11" s="99"/>
      <c r="AZ11" s="97"/>
      <c r="BA11" s="97"/>
      <c r="BB11" s="786" t="s">
        <v>91</v>
      </c>
      <c r="BC11" s="786" t="s">
        <v>92</v>
      </c>
      <c r="BD11" s="789"/>
      <c r="BE11" s="644" t="s">
        <v>93</v>
      </c>
      <c r="BF11" s="647" t="s">
        <v>1600</v>
      </c>
      <c r="BG11" s="650"/>
    </row>
    <row r="12" spans="1:59" ht="57">
      <c r="A12" s="636"/>
      <c r="B12" s="639"/>
      <c r="C12" s="642"/>
      <c r="D12" s="572"/>
      <c r="E12" s="572"/>
      <c r="F12" s="572"/>
      <c r="G12" s="329" t="s">
        <v>94</v>
      </c>
      <c r="H12" s="328" t="s">
        <v>67</v>
      </c>
      <c r="I12" s="579"/>
      <c r="J12" s="572"/>
      <c r="K12" s="565"/>
      <c r="L12" s="573"/>
      <c r="M12" s="565"/>
      <c r="N12" s="565"/>
      <c r="O12" s="628"/>
      <c r="P12" s="357" t="s">
        <v>94</v>
      </c>
      <c r="Q12" s="553"/>
      <c r="R12" s="555"/>
      <c r="S12" s="557"/>
      <c r="T12" s="555"/>
      <c r="U12" s="557"/>
      <c r="V12" s="555"/>
      <c r="W12" s="557"/>
      <c r="X12" s="555"/>
      <c r="Y12" s="557"/>
      <c r="Z12" s="555"/>
      <c r="AA12" s="557"/>
      <c r="AB12" s="555"/>
      <c r="AC12" s="557"/>
      <c r="AD12" s="555"/>
      <c r="AE12" s="557"/>
      <c r="AF12" s="564"/>
      <c r="AG12" s="564"/>
      <c r="AH12" s="851"/>
      <c r="AI12" s="564"/>
      <c r="AJ12" s="564"/>
      <c r="AK12" s="564"/>
      <c r="AL12" s="558"/>
      <c r="AM12" s="558"/>
      <c r="AN12" s="564"/>
      <c r="AO12" s="564"/>
      <c r="AP12" s="564"/>
      <c r="AQ12" s="564"/>
      <c r="AR12" s="565"/>
      <c r="AS12" s="565"/>
      <c r="AT12" s="565"/>
      <c r="AU12" s="565"/>
      <c r="AV12" s="336"/>
      <c r="AW12" s="336"/>
      <c r="AX12" s="336"/>
      <c r="AY12" s="336"/>
      <c r="AZ12" s="336"/>
      <c r="BA12" s="336"/>
      <c r="BB12" s="787"/>
      <c r="BC12" s="787"/>
      <c r="BD12" s="790"/>
      <c r="BE12" s="645"/>
      <c r="BF12" s="648"/>
      <c r="BG12" s="651"/>
    </row>
    <row r="13" spans="1:59" ht="85.5">
      <c r="A13" s="636"/>
      <c r="B13" s="639"/>
      <c r="C13" s="642"/>
      <c r="D13" s="572"/>
      <c r="E13" s="572"/>
      <c r="F13" s="572"/>
      <c r="G13" s="329" t="s">
        <v>95</v>
      </c>
      <c r="H13" s="328" t="s">
        <v>67</v>
      </c>
      <c r="I13" s="574"/>
      <c r="J13" s="572"/>
      <c r="K13" s="565"/>
      <c r="L13" s="573"/>
      <c r="M13" s="565"/>
      <c r="N13" s="565"/>
      <c r="O13" s="535" t="s">
        <v>96</v>
      </c>
      <c r="P13" s="535" t="s">
        <v>95</v>
      </c>
      <c r="Q13" s="332" t="s">
        <v>83</v>
      </c>
      <c r="R13" s="332" t="s">
        <v>73</v>
      </c>
      <c r="S13" s="333">
        <f t="shared" ref="S13:S79" si="16">+IF(R13="si",15,"0")</f>
        <v>15</v>
      </c>
      <c r="T13" s="332" t="s">
        <v>73</v>
      </c>
      <c r="U13" s="333">
        <f t="shared" ref="U13:U79" si="17">+IF(T13="si",15,"0")</f>
        <v>15</v>
      </c>
      <c r="V13" s="332" t="s">
        <v>73</v>
      </c>
      <c r="W13" s="333">
        <f t="shared" ref="W13:W79" si="18">+IF(V13="si",15,"0")</f>
        <v>15</v>
      </c>
      <c r="X13" s="332" t="s">
        <v>72</v>
      </c>
      <c r="Y13" s="333">
        <f t="shared" ref="Y13:Y79" si="19">+IF(X13="Preventivo",15,IF(X13="Detectivo",10,"0"))</f>
        <v>15</v>
      </c>
      <c r="Z13" s="332" t="s">
        <v>73</v>
      </c>
      <c r="AA13" s="333">
        <f t="shared" ref="AA13:AA79" si="20">+IF(Z13="si",15,"0")</f>
        <v>15</v>
      </c>
      <c r="AB13" s="332" t="s">
        <v>73</v>
      </c>
      <c r="AC13" s="333">
        <f t="shared" ref="AC13:AC79" si="21">+IF(AB13="si",15,"0")</f>
        <v>15</v>
      </c>
      <c r="AD13" s="332" t="s">
        <v>74</v>
      </c>
      <c r="AE13" s="333">
        <f t="shared" ref="AE13:AE79" si="22">+IF(AD13="Completa",10,IF(AD13="Incompleta",5,"0"))</f>
        <v>10</v>
      </c>
      <c r="AF13" s="334">
        <f t="shared" ref="AF13:AF79" si="23">IF((SUM(S13,U13,W13,Y13,AA13,AC13,AE13)=0),"",(SUM(S13,U13,W13,Y13,AA13,AC13,AE13)))</f>
        <v>100</v>
      </c>
      <c r="AG13" s="334" t="str">
        <f t="shared" ref="AG13:AG79" si="24">IF(AF13&lt;=85,"Débil",IF(AF13&lt;=95,"Moderado",IF(AF13=100,"Fuerte","")))</f>
        <v>Fuerte</v>
      </c>
      <c r="AH13" s="335" t="s">
        <v>75</v>
      </c>
      <c r="AI13" s="334" t="str">
        <f t="shared" ref="AI13:AI79" si="25">+IF(AH13="siempre","Fuerte",IF(AH13="Algunas veces","Moderado",IF(AH13="No se ejecuta","Débil","")))</f>
        <v>Fuerte</v>
      </c>
      <c r="AJ13" s="334" t="str">
        <f>IFERROR(VLOOKUP((CONCATENATE(AG13,AI13)),Listados!$U$3:$V$11,2,FALSE),"")</f>
        <v>Fuerte</v>
      </c>
      <c r="AK13" s="334">
        <f t="shared" ref="AK13:AK79" si="26">IF(AJ13="","",IF(AJ13="Débil", 0, IF(AJ13="Moderado",50,100)))</f>
        <v>100</v>
      </c>
      <c r="AL13" s="558"/>
      <c r="AM13" s="558"/>
      <c r="AN13" s="341">
        <f>+IF(AND(Q13="Preventivo",AM11="Fuerte"),2,IF(AND(Q13="Preventivo",AM11="Moderado"),1,0))</f>
        <v>0</v>
      </c>
      <c r="AO13" s="334">
        <f>+IF(AND(Q13="Detectivo",$AM11="Fuerte"),2,IF(AND(Q13="Detectivo",$AM11="Moderado"),1,IF(AND(Q13="Preventivo",$AM11="Fuerte"),1,0)))</f>
        <v>2</v>
      </c>
      <c r="AP13" s="341">
        <f>+K11-AN13</f>
        <v>3</v>
      </c>
      <c r="AQ13" s="341">
        <f>+M11-AO13</f>
        <v>1</v>
      </c>
      <c r="AR13" s="565"/>
      <c r="AS13" s="565"/>
      <c r="AT13" s="565"/>
      <c r="AU13" s="565"/>
      <c r="AV13" s="336"/>
      <c r="AW13" s="336"/>
      <c r="AX13" s="339"/>
      <c r="AY13" s="339"/>
      <c r="AZ13" s="336"/>
      <c r="BA13" s="336"/>
      <c r="BB13" s="787"/>
      <c r="BC13" s="787"/>
      <c r="BD13" s="790"/>
      <c r="BE13" s="645"/>
      <c r="BF13" s="648"/>
      <c r="BG13" s="651"/>
    </row>
    <row r="14" spans="1:59" ht="78" customHeight="1">
      <c r="A14" s="636"/>
      <c r="B14" s="639"/>
      <c r="C14" s="642"/>
      <c r="D14" s="572"/>
      <c r="E14" s="572"/>
      <c r="F14" s="572"/>
      <c r="G14" s="625" t="s">
        <v>97</v>
      </c>
      <c r="H14" s="548" t="s">
        <v>67</v>
      </c>
      <c r="I14" s="90" t="s">
        <v>98</v>
      </c>
      <c r="J14" s="572"/>
      <c r="K14" s="565"/>
      <c r="L14" s="573"/>
      <c r="M14" s="565"/>
      <c r="N14" s="565"/>
      <c r="O14" s="629" t="s">
        <v>99</v>
      </c>
      <c r="P14" s="629" t="s">
        <v>97</v>
      </c>
      <c r="Q14" s="554" t="s">
        <v>72</v>
      </c>
      <c r="R14" s="554" t="s">
        <v>73</v>
      </c>
      <c r="S14" s="556">
        <f t="shared" ref="S14" si="27">+IF(R14="si",15,"0")</f>
        <v>15</v>
      </c>
      <c r="T14" s="554" t="s">
        <v>73</v>
      </c>
      <c r="U14" s="556">
        <f t="shared" ref="U14" si="28">+IF(T14="si",15,"0")</f>
        <v>15</v>
      </c>
      <c r="V14" s="554" t="s">
        <v>73</v>
      </c>
      <c r="W14" s="556">
        <f t="shared" ref="W14" si="29">+IF(V14="si",15,"0")</f>
        <v>15</v>
      </c>
      <c r="X14" s="554" t="s">
        <v>72</v>
      </c>
      <c r="Y14" s="556">
        <f t="shared" ref="Y14" si="30">+IF(X14="Preventivo",15,IF(X14="Detectivo",10,"0"))</f>
        <v>15</v>
      </c>
      <c r="Z14" s="859" t="s">
        <v>73</v>
      </c>
      <c r="AA14" s="556">
        <f t="shared" ref="AA14" si="31">+IF(Z14="si",15,"0")</f>
        <v>15</v>
      </c>
      <c r="AB14" s="554" t="s">
        <v>73</v>
      </c>
      <c r="AC14" s="556">
        <f t="shared" ref="AC14" si="32">+IF(AB14="si",15,"0")</f>
        <v>15</v>
      </c>
      <c r="AD14" s="554" t="s">
        <v>74</v>
      </c>
      <c r="AE14" s="556">
        <f t="shared" ref="AE14" si="33">+IF(AD14="Completa",10,IF(AD14="Incompleta",5,"0"))</f>
        <v>10</v>
      </c>
      <c r="AF14" s="563">
        <f>IF((SUM(S14,U14,W14,Y14,AA14,AC14,AE14)=0),"",(SUM(S14,U14,W14,Y14,AA14,AC14,AE14)))</f>
        <v>100</v>
      </c>
      <c r="AG14" s="563" t="str">
        <f>IF(AF14&lt;=85,"Débil",IF(AF14&lt;=95,"Moderado",IF(AF14=100,"Fuerte","")))</f>
        <v>Fuerte</v>
      </c>
      <c r="AH14" s="596" t="s">
        <v>75</v>
      </c>
      <c r="AI14" s="563" t="str">
        <f t="shared" ref="AI14" si="34">+IF(AH14="siempre","Fuerte",IF(AH14="Algunas veces","Moderado",IF(AH14="No se ejecuta","Débil","")))</f>
        <v>Fuerte</v>
      </c>
      <c r="AJ14" s="563" t="str">
        <f>IFERROR(VLOOKUP((CONCATENATE(AG14,AI14)),Listados!$U$3:$V$11,2,FALSE),"")</f>
        <v>Fuerte</v>
      </c>
      <c r="AK14" s="563">
        <f t="shared" ref="AK14" si="35">IF(AJ14="","",IF(AJ14="Débil", 0, IF(AJ14="Moderado",50,100)))</f>
        <v>100</v>
      </c>
      <c r="AL14" s="558"/>
      <c r="AM14" s="558"/>
      <c r="AN14" s="341">
        <f>+IF(AND(Q14="Preventivo",AM11="Fuerte"),2,IF(AND(Q14="Preventivo",AM11="Moderado"),1,0))</f>
        <v>2</v>
      </c>
      <c r="AO14" s="341">
        <f>+IF(AND(Q14="Detectivo",$AM11="Fuerte"),2,IF(AND(Q14="Detectivo",$AM11="Moderado"),1,IF(AND(Q14="Preventivo",$AM11="Fuerte"),1,0)))</f>
        <v>1</v>
      </c>
      <c r="AP14" s="341">
        <f>+K11-AN14</f>
        <v>1</v>
      </c>
      <c r="AQ14" s="341">
        <f>+M11-AO14</f>
        <v>2</v>
      </c>
      <c r="AR14" s="565"/>
      <c r="AS14" s="565"/>
      <c r="AT14" s="565"/>
      <c r="AU14" s="565"/>
      <c r="AV14" s="336"/>
      <c r="AW14" s="336"/>
      <c r="AX14" s="339"/>
      <c r="AY14" s="339"/>
      <c r="AZ14" s="336"/>
      <c r="BA14" s="336"/>
      <c r="BB14" s="787"/>
      <c r="BC14" s="787"/>
      <c r="BD14" s="790"/>
      <c r="BE14" s="645"/>
      <c r="BF14" s="648"/>
      <c r="BG14" s="651"/>
    </row>
    <row r="15" spans="1:59" ht="57">
      <c r="A15" s="637"/>
      <c r="B15" s="640"/>
      <c r="C15" s="643"/>
      <c r="D15" s="586"/>
      <c r="E15" s="586"/>
      <c r="F15" s="586"/>
      <c r="G15" s="626"/>
      <c r="H15" s="549"/>
      <c r="I15" s="256" t="s">
        <v>100</v>
      </c>
      <c r="J15" s="586"/>
      <c r="K15" s="570"/>
      <c r="L15" s="587"/>
      <c r="M15" s="570"/>
      <c r="N15" s="570"/>
      <c r="O15" s="630"/>
      <c r="P15" s="630"/>
      <c r="Q15" s="581"/>
      <c r="R15" s="581"/>
      <c r="S15" s="583"/>
      <c r="T15" s="581"/>
      <c r="U15" s="583"/>
      <c r="V15" s="581"/>
      <c r="W15" s="583"/>
      <c r="X15" s="581"/>
      <c r="Y15" s="583"/>
      <c r="Z15" s="860"/>
      <c r="AA15" s="583"/>
      <c r="AB15" s="581"/>
      <c r="AC15" s="583"/>
      <c r="AD15" s="581"/>
      <c r="AE15" s="583"/>
      <c r="AF15" s="568"/>
      <c r="AG15" s="568"/>
      <c r="AH15" s="598"/>
      <c r="AI15" s="568"/>
      <c r="AJ15" s="568"/>
      <c r="AK15" s="568"/>
      <c r="AL15" s="560"/>
      <c r="AM15" s="560"/>
      <c r="AN15" s="264">
        <f t="shared" ref="AN15" si="36">+IF(AND(Q15="Preventivo",AM15="Fuerte"),2,IF(AND(Q15="Preventivo",AM15="Moderado"),1,0))</f>
        <v>0</v>
      </c>
      <c r="AO15" s="264">
        <f t="shared" ref="AO15" si="37">+IF(AND(Q15="Detectivo",$AM15="Fuerte"),2,IF(AND(Q15="Detectivo",$AM15="Moderado"),1,IF(AND(Q15="Preventivo",$AM15="Fuerte"),1,0)))</f>
        <v>0</v>
      </c>
      <c r="AP15" s="264">
        <f t="shared" ref="AP15" si="38">+K15-AN15</f>
        <v>0</v>
      </c>
      <c r="AQ15" s="264">
        <f t="shared" ref="AQ15" si="39">+M15-AO15</f>
        <v>0</v>
      </c>
      <c r="AR15" s="570"/>
      <c r="AS15" s="570"/>
      <c r="AT15" s="570"/>
      <c r="AU15" s="570"/>
      <c r="AV15" s="249"/>
      <c r="AW15" s="249"/>
      <c r="AX15" s="250"/>
      <c r="AY15" s="250"/>
      <c r="AZ15" s="249"/>
      <c r="BA15" s="249"/>
      <c r="BB15" s="788"/>
      <c r="BC15" s="788"/>
      <c r="BD15" s="791"/>
      <c r="BE15" s="646"/>
      <c r="BF15" s="649"/>
      <c r="BG15" s="652"/>
    </row>
    <row r="16" spans="1:59" ht="133.5" customHeight="1">
      <c r="A16" s="635">
        <v>3</v>
      </c>
      <c r="B16" s="638" t="s">
        <v>101</v>
      </c>
      <c r="C16" s="641" t="s">
        <v>102</v>
      </c>
      <c r="D16" s="584" t="s">
        <v>103</v>
      </c>
      <c r="E16" s="584" t="s">
        <v>85</v>
      </c>
      <c r="F16" s="584" t="s">
        <v>65</v>
      </c>
      <c r="G16" s="92" t="s">
        <v>104</v>
      </c>
      <c r="H16" s="91" t="s">
        <v>67</v>
      </c>
      <c r="I16" s="92" t="s">
        <v>105</v>
      </c>
      <c r="J16" s="584" t="s">
        <v>106</v>
      </c>
      <c r="K16" s="569">
        <f>+VLOOKUP(J16,Listados!$K$8:$L$12,2,0)</f>
        <v>4</v>
      </c>
      <c r="L16" s="585" t="s">
        <v>107</v>
      </c>
      <c r="M16" s="569">
        <f>+VLOOKUP(L16,Listados!$K$13:$L$17,2,0)</f>
        <v>5</v>
      </c>
      <c r="N16" s="569" t="str">
        <f>IF(AND(J16&lt;&gt;"",L16&lt;&gt;""),VLOOKUP(J16&amp;L16,Listados!$M$3:$N$27,2,FALSE),"")</f>
        <v>Extremo</v>
      </c>
      <c r="O16" s="179" t="s">
        <v>108</v>
      </c>
      <c r="P16" s="209" t="s">
        <v>104</v>
      </c>
      <c r="Q16" s="106" t="s">
        <v>72</v>
      </c>
      <c r="R16" s="94" t="s">
        <v>73</v>
      </c>
      <c r="S16" s="93">
        <f t="shared" si="16"/>
        <v>15</v>
      </c>
      <c r="T16" s="94" t="s">
        <v>73</v>
      </c>
      <c r="U16" s="93">
        <f t="shared" si="17"/>
        <v>15</v>
      </c>
      <c r="V16" s="94" t="s">
        <v>73</v>
      </c>
      <c r="W16" s="93">
        <f t="shared" si="18"/>
        <v>15</v>
      </c>
      <c r="X16" s="94" t="s">
        <v>72</v>
      </c>
      <c r="Y16" s="93">
        <f t="shared" si="19"/>
        <v>15</v>
      </c>
      <c r="Z16" s="94" t="s">
        <v>73</v>
      </c>
      <c r="AA16" s="93">
        <f t="shared" si="20"/>
        <v>15</v>
      </c>
      <c r="AB16" s="94" t="s">
        <v>73</v>
      </c>
      <c r="AC16" s="93">
        <f t="shared" si="21"/>
        <v>15</v>
      </c>
      <c r="AD16" s="94" t="s">
        <v>74</v>
      </c>
      <c r="AE16" s="93">
        <f t="shared" si="22"/>
        <v>10</v>
      </c>
      <c r="AF16" s="96">
        <f t="shared" si="23"/>
        <v>100</v>
      </c>
      <c r="AG16" s="96" t="str">
        <f t="shared" si="24"/>
        <v>Fuerte</v>
      </c>
      <c r="AH16" s="107" t="s">
        <v>75</v>
      </c>
      <c r="AI16" s="96" t="str">
        <f t="shared" si="25"/>
        <v>Fuerte</v>
      </c>
      <c r="AJ16" s="96" t="str">
        <f>IFERROR(VLOOKUP((CONCATENATE(AG16,AI16)),Listados!$U$3:$V$11,2,FALSE),"")</f>
        <v>Fuerte</v>
      </c>
      <c r="AK16" s="96">
        <f t="shared" si="26"/>
        <v>100</v>
      </c>
      <c r="AL16" s="559">
        <f t="shared" ref="AL16" si="40">AVERAGE(AK16:AK22)</f>
        <v>85.714285714285708</v>
      </c>
      <c r="AM16" s="566" t="str">
        <f t="shared" ref="AM16" si="41">IF(AL16&lt;=50,"Débil",IF(AL16&lt;=99,"Moderado",IF(AL16=100,"fuerte","")))</f>
        <v>Moderado</v>
      </c>
      <c r="AN16" s="96">
        <f>+IF(AND(Q16="Preventivo",AM16="Fuerte"),2,IF(AND(Q16="Preventivo",AM16="Moderado"),1,0))</f>
        <v>1</v>
      </c>
      <c r="AO16" s="96">
        <f>+IF(AND(Q16="Detectivo",$AM16="Fuerte"),2,IF(AND(Q16="Detectivo",$AM16="Moderado"),1,IF(AND(Q16="Preventivo",$AM16="Fuerte"),1,0)))</f>
        <v>0</v>
      </c>
      <c r="AP16" s="96">
        <f t="shared" ref="AP16" si="42">+K16-AN16</f>
        <v>3</v>
      </c>
      <c r="AQ16" s="96">
        <f>+M16-AO16</f>
        <v>5</v>
      </c>
      <c r="AR16" s="569" t="str">
        <f>+VLOOKUP(MIN(AP16:AP22),Listados!$J$18:$K$24,2,TRUE)</f>
        <v>Posible</v>
      </c>
      <c r="AS16" s="569" t="str">
        <f>+VLOOKUP(MIN(AQ16:AQ22),Listados!$J$26:$K$32,2,TRUE)</f>
        <v>Mayor</v>
      </c>
      <c r="AT16" s="569" t="str">
        <f>IF(AND(AR16&lt;&gt;"",AS16&lt;&gt;""),VLOOKUP(AR16&amp;AS16,Listados!$M$3:$N$27,2,FALSE),"")</f>
        <v>Extremo</v>
      </c>
      <c r="AU16" s="569" t="str">
        <f>+VLOOKUP(AT16,Listados!$P$3:$Q$6,2,FALSE)</f>
        <v>Reducir el riesgo</v>
      </c>
      <c r="AV16" s="97" t="s">
        <v>109</v>
      </c>
      <c r="AW16" s="97" t="s">
        <v>110</v>
      </c>
      <c r="AX16" s="98">
        <v>45778</v>
      </c>
      <c r="AY16" s="99">
        <v>45991</v>
      </c>
      <c r="AZ16" s="97" t="s">
        <v>111</v>
      </c>
      <c r="BA16" s="97" t="s">
        <v>112</v>
      </c>
      <c r="BB16" s="438" t="s">
        <v>113</v>
      </c>
      <c r="BC16" s="527" t="s">
        <v>114</v>
      </c>
      <c r="BD16" s="792"/>
      <c r="BE16" s="754" t="s">
        <v>115</v>
      </c>
      <c r="BF16" s="757" t="s">
        <v>1601</v>
      </c>
      <c r="BG16" s="760"/>
    </row>
    <row r="17" spans="1:59" ht="127.5">
      <c r="A17" s="636"/>
      <c r="B17" s="639"/>
      <c r="C17" s="642"/>
      <c r="D17" s="572"/>
      <c r="E17" s="572"/>
      <c r="F17" s="572"/>
      <c r="G17" s="329" t="s">
        <v>116</v>
      </c>
      <c r="H17" s="328" t="s">
        <v>67</v>
      </c>
      <c r="I17" s="329" t="s">
        <v>117</v>
      </c>
      <c r="J17" s="572"/>
      <c r="K17" s="565"/>
      <c r="L17" s="573"/>
      <c r="M17" s="565"/>
      <c r="N17" s="565"/>
      <c r="O17" s="358" t="s">
        <v>118</v>
      </c>
      <c r="P17" s="372" t="s">
        <v>116</v>
      </c>
      <c r="Q17" s="331" t="s">
        <v>72</v>
      </c>
      <c r="R17" s="332" t="s">
        <v>73</v>
      </c>
      <c r="S17" s="333">
        <f t="shared" si="16"/>
        <v>15</v>
      </c>
      <c r="T17" s="332" t="s">
        <v>73</v>
      </c>
      <c r="U17" s="333">
        <f t="shared" si="17"/>
        <v>15</v>
      </c>
      <c r="V17" s="332" t="s">
        <v>73</v>
      </c>
      <c r="W17" s="333">
        <f t="shared" si="18"/>
        <v>15</v>
      </c>
      <c r="X17" s="332" t="s">
        <v>72</v>
      </c>
      <c r="Y17" s="333">
        <f t="shared" si="19"/>
        <v>15</v>
      </c>
      <c r="Z17" s="332" t="s">
        <v>73</v>
      </c>
      <c r="AA17" s="333">
        <f t="shared" si="20"/>
        <v>15</v>
      </c>
      <c r="AB17" s="332" t="s">
        <v>73</v>
      </c>
      <c r="AC17" s="333">
        <f t="shared" si="21"/>
        <v>15</v>
      </c>
      <c r="AD17" s="332" t="s">
        <v>74</v>
      </c>
      <c r="AE17" s="333">
        <f t="shared" si="22"/>
        <v>10</v>
      </c>
      <c r="AF17" s="334">
        <f t="shared" si="23"/>
        <v>100</v>
      </c>
      <c r="AG17" s="334" t="str">
        <f t="shared" si="24"/>
        <v>Fuerte</v>
      </c>
      <c r="AH17" s="335" t="s">
        <v>75</v>
      </c>
      <c r="AI17" s="334" t="str">
        <f t="shared" si="25"/>
        <v>Fuerte</v>
      </c>
      <c r="AJ17" s="334" t="str">
        <f>IFERROR(VLOOKUP((CONCATENATE(AG17,AI17)),Listados!$U$3:$V$11,2,FALSE),"")</f>
        <v>Fuerte</v>
      </c>
      <c r="AK17" s="334">
        <f t="shared" si="26"/>
        <v>100</v>
      </c>
      <c r="AL17" s="558"/>
      <c r="AM17" s="567"/>
      <c r="AN17" s="334">
        <f>+IF(AND(Q17="Preventivo",AM16="Fuerte"),2,IF(AND(Q17="Preventivo",AM16="Moderado"),1,0))</f>
        <v>1</v>
      </c>
      <c r="AO17" s="334">
        <f>+IF(AND(Q17="Detectivo",$AM16="Fuerte"),2,IF(AND(Q17="Detectivo",$AM16="Moderado"),1,IF(AND(Q17="Preventivo",$AM16="Fuerte"),1,0)))</f>
        <v>0</v>
      </c>
      <c r="AP17" s="341">
        <f>+K16-AN17</f>
        <v>3</v>
      </c>
      <c r="AQ17" s="341">
        <f>+M16-AO17</f>
        <v>5</v>
      </c>
      <c r="AR17" s="565"/>
      <c r="AS17" s="565"/>
      <c r="AT17" s="565"/>
      <c r="AU17" s="565"/>
      <c r="AV17" s="336" t="s">
        <v>119</v>
      </c>
      <c r="AW17" s="336" t="s">
        <v>110</v>
      </c>
      <c r="AX17" s="336">
        <v>45778</v>
      </c>
      <c r="AY17" s="336">
        <v>45991</v>
      </c>
      <c r="AZ17" s="336" t="s">
        <v>111</v>
      </c>
      <c r="BA17" s="336" t="s">
        <v>120</v>
      </c>
      <c r="BB17" s="438" t="s">
        <v>121</v>
      </c>
      <c r="BC17" s="528" t="s">
        <v>122</v>
      </c>
      <c r="BD17" s="793"/>
      <c r="BE17" s="755"/>
      <c r="BF17" s="758"/>
      <c r="BG17" s="761"/>
    </row>
    <row r="18" spans="1:59" ht="120.75" customHeight="1">
      <c r="A18" s="636"/>
      <c r="B18" s="639"/>
      <c r="C18" s="642"/>
      <c r="D18" s="572"/>
      <c r="E18" s="572"/>
      <c r="F18" s="572"/>
      <c r="G18" s="656" t="s">
        <v>123</v>
      </c>
      <c r="H18" s="572" t="s">
        <v>67</v>
      </c>
      <c r="I18" s="656" t="s">
        <v>124</v>
      </c>
      <c r="J18" s="572"/>
      <c r="K18" s="565"/>
      <c r="L18" s="573"/>
      <c r="M18" s="565"/>
      <c r="N18" s="565"/>
      <c r="O18" s="536" t="s">
        <v>125</v>
      </c>
      <c r="P18" s="372" t="s">
        <v>123</v>
      </c>
      <c r="Q18" s="332" t="s">
        <v>72</v>
      </c>
      <c r="R18" s="332" t="s">
        <v>73</v>
      </c>
      <c r="S18" s="333">
        <f t="shared" si="16"/>
        <v>15</v>
      </c>
      <c r="T18" s="332" t="s">
        <v>73</v>
      </c>
      <c r="U18" s="333">
        <f t="shared" si="17"/>
        <v>15</v>
      </c>
      <c r="V18" s="332" t="s">
        <v>73</v>
      </c>
      <c r="W18" s="333">
        <f t="shared" si="18"/>
        <v>15</v>
      </c>
      <c r="X18" s="332" t="s">
        <v>72</v>
      </c>
      <c r="Y18" s="333">
        <f t="shared" si="19"/>
        <v>15</v>
      </c>
      <c r="Z18" s="332" t="s">
        <v>73</v>
      </c>
      <c r="AA18" s="333">
        <f t="shared" si="20"/>
        <v>15</v>
      </c>
      <c r="AB18" s="332" t="s">
        <v>73</v>
      </c>
      <c r="AC18" s="333">
        <f t="shared" si="21"/>
        <v>15</v>
      </c>
      <c r="AD18" s="332" t="s">
        <v>74</v>
      </c>
      <c r="AE18" s="333">
        <f t="shared" si="22"/>
        <v>10</v>
      </c>
      <c r="AF18" s="334">
        <f t="shared" si="23"/>
        <v>100</v>
      </c>
      <c r="AG18" s="334" t="str">
        <f t="shared" si="24"/>
        <v>Fuerte</v>
      </c>
      <c r="AH18" s="335" t="s">
        <v>75</v>
      </c>
      <c r="AI18" s="334" t="str">
        <f t="shared" si="25"/>
        <v>Fuerte</v>
      </c>
      <c r="AJ18" s="334" t="str">
        <f>IFERROR(VLOOKUP((CONCATENATE(AG18,AI18)),Listados!$U$3:$V$11,2,FALSE),"")</f>
        <v>Fuerte</v>
      </c>
      <c r="AK18" s="334">
        <f t="shared" si="26"/>
        <v>100</v>
      </c>
      <c r="AL18" s="558"/>
      <c r="AM18" s="567"/>
      <c r="AN18" s="334">
        <f>+IF(AND(Q18="Preventivo",AM16="Fuerte"),2,IF(AND(Q18="Preventivo",AM16="Moderado"),1,0))</f>
        <v>1</v>
      </c>
      <c r="AO18" s="334">
        <f>+IF(AND(Q18="Detectivo",$AM16="Fuerte"),2,IF(AND(Q18="Detectivo",$AM16="Moderado"),1,IF(AND(Q18="Preventivo",$AM16="Fuerte"),1,0)))</f>
        <v>0</v>
      </c>
      <c r="AP18" s="334">
        <f>+K16-AN18</f>
        <v>3</v>
      </c>
      <c r="AQ18" s="334">
        <f>+M16-AO18</f>
        <v>5</v>
      </c>
      <c r="AR18" s="565"/>
      <c r="AS18" s="565"/>
      <c r="AT18" s="565"/>
      <c r="AU18" s="565"/>
      <c r="AV18" s="336" t="s">
        <v>126</v>
      </c>
      <c r="AW18" s="336" t="s">
        <v>110</v>
      </c>
      <c r="AX18" s="339">
        <v>45901</v>
      </c>
      <c r="AY18" s="339">
        <v>45991</v>
      </c>
      <c r="AZ18" s="336" t="s">
        <v>111</v>
      </c>
      <c r="BA18" s="336" t="s">
        <v>120</v>
      </c>
      <c r="BB18" s="438" t="s">
        <v>127</v>
      </c>
      <c r="BC18" s="378" t="s">
        <v>128</v>
      </c>
      <c r="BD18" s="793"/>
      <c r="BE18" s="755"/>
      <c r="BF18" s="758"/>
      <c r="BG18" s="761"/>
    </row>
    <row r="19" spans="1:59" ht="90" customHeight="1">
      <c r="A19" s="636"/>
      <c r="B19" s="639"/>
      <c r="C19" s="642"/>
      <c r="D19" s="572"/>
      <c r="E19" s="572"/>
      <c r="F19" s="572"/>
      <c r="G19" s="656"/>
      <c r="H19" s="572"/>
      <c r="I19" s="656"/>
      <c r="J19" s="572"/>
      <c r="K19" s="565"/>
      <c r="L19" s="573"/>
      <c r="M19" s="565"/>
      <c r="N19" s="565"/>
      <c r="O19" s="536" t="s">
        <v>129</v>
      </c>
      <c r="P19" s="372" t="s">
        <v>123</v>
      </c>
      <c r="Q19" s="332" t="s">
        <v>72</v>
      </c>
      <c r="R19" s="332" t="s">
        <v>73</v>
      </c>
      <c r="S19" s="333">
        <f t="shared" si="16"/>
        <v>15</v>
      </c>
      <c r="T19" s="332" t="s">
        <v>73</v>
      </c>
      <c r="U19" s="333">
        <f t="shared" si="17"/>
        <v>15</v>
      </c>
      <c r="V19" s="332" t="s">
        <v>73</v>
      </c>
      <c r="W19" s="333">
        <f t="shared" si="18"/>
        <v>15</v>
      </c>
      <c r="X19" s="332" t="s">
        <v>72</v>
      </c>
      <c r="Y19" s="333">
        <f t="shared" si="19"/>
        <v>15</v>
      </c>
      <c r="Z19" s="332" t="s">
        <v>73</v>
      </c>
      <c r="AA19" s="333">
        <f t="shared" si="20"/>
        <v>15</v>
      </c>
      <c r="AB19" s="332" t="s">
        <v>73</v>
      </c>
      <c r="AC19" s="333">
        <f t="shared" si="21"/>
        <v>15</v>
      </c>
      <c r="AD19" s="332" t="s">
        <v>74</v>
      </c>
      <c r="AE19" s="333">
        <f t="shared" si="22"/>
        <v>10</v>
      </c>
      <c r="AF19" s="334">
        <f t="shared" ref="AF19:AF21" si="43">IF((SUM(S19,U19,W19,Y19,AA19,AC19,AE19)=0),"",(SUM(S19,U19,W19,Y19,AA19,AC19,AE19)))</f>
        <v>100</v>
      </c>
      <c r="AG19" s="334" t="str">
        <f t="shared" ref="AG19:AG21" si="44">IF(AF19&lt;=85,"Débil",IF(AF19&lt;=95,"Moderado",IF(AF19=100,"Fuerte","")))</f>
        <v>Fuerte</v>
      </c>
      <c r="AH19" s="335" t="s">
        <v>75</v>
      </c>
      <c r="AI19" s="334" t="str">
        <f t="shared" ref="AI19:AI21" si="45">+IF(AH19="siempre","Fuerte",IF(AH19="Algunas veces","Moderado",IF(AH19="No se ejecuta","Débil","")))</f>
        <v>Fuerte</v>
      </c>
      <c r="AJ19" s="334" t="str">
        <f>IFERROR(VLOOKUP((CONCATENATE(AG19,AI19)),Listados!$U$3:$V$11,2,FALSE),"")</f>
        <v>Fuerte</v>
      </c>
      <c r="AK19" s="334">
        <f t="shared" ref="AK19:AK21" si="46">IF(AJ19="","",IF(AJ19="Débil", 0, IF(AJ19="Moderado",50,100)))</f>
        <v>100</v>
      </c>
      <c r="AL19" s="558"/>
      <c r="AM19" s="567"/>
      <c r="AN19" s="334">
        <f>+IF(AND(Q19="Preventivo",AM16="Fuerte"),2,IF(AND(Q19="Preventivo",AM16="Moderado"),1,0))</f>
        <v>1</v>
      </c>
      <c r="AO19" s="334">
        <f t="shared" ref="AO19:AO22" si="47">+IF(AND(Q19="Detectivo",$AM18="Fuerte"),2,IF(AND(Q19="Detectivo",$AM18="Moderado"),1,IF(AND(Q19="Preventivo",$AM18="Fuerte"),1,0)))</f>
        <v>0</v>
      </c>
      <c r="AP19" s="334">
        <f>+K16-AN19</f>
        <v>3</v>
      </c>
      <c r="AQ19" s="334">
        <f>+M16-AO19</f>
        <v>5</v>
      </c>
      <c r="AR19" s="565"/>
      <c r="AS19" s="565"/>
      <c r="AT19" s="565"/>
      <c r="AU19" s="565"/>
      <c r="AV19" s="336" t="s">
        <v>130</v>
      </c>
      <c r="AW19" s="336" t="s">
        <v>131</v>
      </c>
      <c r="AX19" s="339">
        <v>45778</v>
      </c>
      <c r="AY19" s="339">
        <v>45991</v>
      </c>
      <c r="AZ19" s="336" t="s">
        <v>111</v>
      </c>
      <c r="BA19" s="336" t="s">
        <v>132</v>
      </c>
      <c r="BB19" s="438" t="s">
        <v>133</v>
      </c>
      <c r="BC19" s="378" t="s">
        <v>134</v>
      </c>
      <c r="BD19" s="793"/>
      <c r="BE19" s="755"/>
      <c r="BF19" s="758"/>
      <c r="BG19" s="761"/>
    </row>
    <row r="20" spans="1:59" ht="114" customHeight="1">
      <c r="A20" s="636"/>
      <c r="B20" s="639"/>
      <c r="C20" s="642"/>
      <c r="D20" s="572"/>
      <c r="E20" s="572"/>
      <c r="F20" s="572"/>
      <c r="G20" s="329" t="s">
        <v>135</v>
      </c>
      <c r="H20" s="328" t="s">
        <v>67</v>
      </c>
      <c r="I20" s="329" t="s">
        <v>136</v>
      </c>
      <c r="J20" s="572"/>
      <c r="K20" s="565"/>
      <c r="L20" s="573"/>
      <c r="M20" s="565"/>
      <c r="N20" s="565"/>
      <c r="O20" s="536" t="s">
        <v>137</v>
      </c>
      <c r="P20" s="372" t="s">
        <v>135</v>
      </c>
      <c r="Q20" s="332" t="s">
        <v>83</v>
      </c>
      <c r="R20" s="332" t="s">
        <v>73</v>
      </c>
      <c r="S20" s="333">
        <f t="shared" si="16"/>
        <v>15</v>
      </c>
      <c r="T20" s="332" t="s">
        <v>73</v>
      </c>
      <c r="U20" s="333">
        <f t="shared" si="17"/>
        <v>15</v>
      </c>
      <c r="V20" s="332" t="s">
        <v>73</v>
      </c>
      <c r="W20" s="333">
        <f t="shared" si="18"/>
        <v>15</v>
      </c>
      <c r="X20" s="332" t="s">
        <v>83</v>
      </c>
      <c r="Y20" s="333">
        <f t="shared" si="19"/>
        <v>10</v>
      </c>
      <c r="Z20" s="332" t="s">
        <v>73</v>
      </c>
      <c r="AA20" s="333">
        <f t="shared" si="20"/>
        <v>15</v>
      </c>
      <c r="AB20" s="332" t="s">
        <v>73</v>
      </c>
      <c r="AC20" s="333">
        <f t="shared" si="21"/>
        <v>15</v>
      </c>
      <c r="AD20" s="332" t="s">
        <v>74</v>
      </c>
      <c r="AE20" s="333">
        <f t="shared" si="22"/>
        <v>10</v>
      </c>
      <c r="AF20" s="334">
        <f t="shared" si="43"/>
        <v>95</v>
      </c>
      <c r="AG20" s="334" t="str">
        <f t="shared" si="44"/>
        <v>Moderado</v>
      </c>
      <c r="AH20" s="335" t="s">
        <v>75</v>
      </c>
      <c r="AI20" s="334" t="str">
        <f t="shared" si="45"/>
        <v>Fuerte</v>
      </c>
      <c r="AJ20" s="334" t="str">
        <f>IFERROR(VLOOKUP((CONCATENATE(AG20,AI20)),Listados!$U$3:$V$11,2,FALSE),"")</f>
        <v>Moderado</v>
      </c>
      <c r="AK20" s="334">
        <f t="shared" si="46"/>
        <v>50</v>
      </c>
      <c r="AL20" s="558"/>
      <c r="AM20" s="567"/>
      <c r="AN20" s="334">
        <f>+IF(AND(Q20="Preventivo",AM16="Fuerte"),2,IF(AND(Q20="Preventivo",AM16="Moderado"),1,0))</f>
        <v>0</v>
      </c>
      <c r="AO20" s="334">
        <f>+IF(AND(Q20="Detectivo",$AM16="Fuerte"),2,IF(AND(Q20="Detectivo",$AM16="Moderado"),1,IF(AND(Q20="Preventivo",$AM16="Fuerte"),1,0)))</f>
        <v>1</v>
      </c>
      <c r="AP20" s="334">
        <f>+K16-AN20</f>
        <v>4</v>
      </c>
      <c r="AQ20" s="334">
        <f>+M16-AO20</f>
        <v>4</v>
      </c>
      <c r="AR20" s="565"/>
      <c r="AS20" s="565"/>
      <c r="AT20" s="565"/>
      <c r="AU20" s="565"/>
      <c r="AV20" s="336" t="s">
        <v>138</v>
      </c>
      <c r="AW20" s="336" t="s">
        <v>131</v>
      </c>
      <c r="AX20" s="339">
        <v>45778</v>
      </c>
      <c r="AY20" s="339">
        <v>45991</v>
      </c>
      <c r="AZ20" s="336" t="s">
        <v>111</v>
      </c>
      <c r="BA20" s="336" t="s">
        <v>139</v>
      </c>
      <c r="BB20" s="438" t="s">
        <v>140</v>
      </c>
      <c r="BC20" s="529" t="s">
        <v>141</v>
      </c>
      <c r="BD20" s="793"/>
      <c r="BE20" s="755"/>
      <c r="BF20" s="758"/>
      <c r="BG20" s="761"/>
    </row>
    <row r="21" spans="1:59" ht="93" customHeight="1">
      <c r="A21" s="636"/>
      <c r="B21" s="639"/>
      <c r="C21" s="642"/>
      <c r="D21" s="572"/>
      <c r="E21" s="572"/>
      <c r="F21" s="572"/>
      <c r="G21" s="656" t="s">
        <v>142</v>
      </c>
      <c r="H21" s="572" t="s">
        <v>67</v>
      </c>
      <c r="I21" s="656" t="s">
        <v>143</v>
      </c>
      <c r="J21" s="572"/>
      <c r="K21" s="565"/>
      <c r="L21" s="573"/>
      <c r="M21" s="565"/>
      <c r="N21" s="565"/>
      <c r="O21" s="536" t="s">
        <v>144</v>
      </c>
      <c r="P21" s="372" t="s">
        <v>135</v>
      </c>
      <c r="Q21" s="332" t="s">
        <v>83</v>
      </c>
      <c r="R21" s="332" t="s">
        <v>73</v>
      </c>
      <c r="S21" s="333">
        <f t="shared" si="16"/>
        <v>15</v>
      </c>
      <c r="T21" s="332" t="s">
        <v>73</v>
      </c>
      <c r="U21" s="333">
        <f t="shared" si="17"/>
        <v>15</v>
      </c>
      <c r="V21" s="332" t="s">
        <v>73</v>
      </c>
      <c r="W21" s="333">
        <f t="shared" si="18"/>
        <v>15</v>
      </c>
      <c r="X21" s="332" t="s">
        <v>83</v>
      </c>
      <c r="Y21" s="333">
        <f t="shared" si="19"/>
        <v>10</v>
      </c>
      <c r="Z21" s="332" t="s">
        <v>73</v>
      </c>
      <c r="AA21" s="333">
        <f t="shared" si="20"/>
        <v>15</v>
      </c>
      <c r="AB21" s="332" t="s">
        <v>73</v>
      </c>
      <c r="AC21" s="333">
        <f t="shared" si="21"/>
        <v>15</v>
      </c>
      <c r="AD21" s="332" t="s">
        <v>74</v>
      </c>
      <c r="AE21" s="333">
        <f t="shared" si="22"/>
        <v>10</v>
      </c>
      <c r="AF21" s="334">
        <f t="shared" si="43"/>
        <v>95</v>
      </c>
      <c r="AG21" s="334" t="str">
        <f t="shared" si="44"/>
        <v>Moderado</v>
      </c>
      <c r="AH21" s="335" t="s">
        <v>75</v>
      </c>
      <c r="AI21" s="334" t="str">
        <f t="shared" si="45"/>
        <v>Fuerte</v>
      </c>
      <c r="AJ21" s="334" t="str">
        <f>IFERROR(VLOOKUP((CONCATENATE(AG21,AI21)),Listados!$U$3:$V$11,2,FALSE),"")</f>
        <v>Moderado</v>
      </c>
      <c r="AK21" s="334">
        <f t="shared" si="46"/>
        <v>50</v>
      </c>
      <c r="AL21" s="558"/>
      <c r="AM21" s="567"/>
      <c r="AN21" s="334">
        <f>+IF(AND(Q21="Preventivo",AM16="Fuerte"),2,IF(AND(Q21="Preventivo",AM16="Moderado"),1,0))</f>
        <v>0</v>
      </c>
      <c r="AO21" s="334">
        <f>+IF(AND(Q21="Detectivo",$AM16="Fuerte"),2,IF(AND(Q21="Detectivo",$AM16="Moderado"),1,IF(AND(Q21="Preventivo",$AM16="Fuerte"),1,0)))</f>
        <v>1</v>
      </c>
      <c r="AP21" s="334">
        <f>+K16-AN21</f>
        <v>4</v>
      </c>
      <c r="AQ21" s="334">
        <f>+M16-AO21</f>
        <v>4</v>
      </c>
      <c r="AR21" s="565"/>
      <c r="AS21" s="565"/>
      <c r="AT21" s="565"/>
      <c r="AU21" s="565"/>
      <c r="AV21" s="336"/>
      <c r="AW21" s="336"/>
      <c r="AX21" s="339"/>
      <c r="AY21" s="339"/>
      <c r="AZ21" s="336"/>
      <c r="BA21" s="336"/>
      <c r="BB21" s="438" t="s">
        <v>145</v>
      </c>
      <c r="BC21" s="529" t="s">
        <v>146</v>
      </c>
      <c r="BD21" s="793"/>
      <c r="BE21" s="755"/>
      <c r="BF21" s="758"/>
      <c r="BG21" s="761"/>
    </row>
    <row r="22" spans="1:59" ht="107.25" customHeight="1">
      <c r="A22" s="637"/>
      <c r="B22" s="640"/>
      <c r="C22" s="643"/>
      <c r="D22" s="586"/>
      <c r="E22" s="586"/>
      <c r="F22" s="586"/>
      <c r="G22" s="657"/>
      <c r="H22" s="586"/>
      <c r="I22" s="657"/>
      <c r="J22" s="586"/>
      <c r="K22" s="570"/>
      <c r="L22" s="587"/>
      <c r="M22" s="570"/>
      <c r="N22" s="570"/>
      <c r="O22" s="537" t="s">
        <v>147</v>
      </c>
      <c r="P22" s="538" t="s">
        <v>142</v>
      </c>
      <c r="Q22" s="260" t="s">
        <v>72</v>
      </c>
      <c r="R22" s="260" t="s">
        <v>73</v>
      </c>
      <c r="S22" s="261">
        <f t="shared" si="16"/>
        <v>15</v>
      </c>
      <c r="T22" s="260" t="s">
        <v>73</v>
      </c>
      <c r="U22" s="261">
        <f t="shared" si="17"/>
        <v>15</v>
      </c>
      <c r="V22" s="260" t="s">
        <v>73</v>
      </c>
      <c r="W22" s="261">
        <f t="shared" si="18"/>
        <v>15</v>
      </c>
      <c r="X22" s="260" t="s">
        <v>72</v>
      </c>
      <c r="Y22" s="261">
        <f t="shared" si="19"/>
        <v>15</v>
      </c>
      <c r="Z22" s="260" t="s">
        <v>73</v>
      </c>
      <c r="AA22" s="261">
        <f t="shared" si="20"/>
        <v>15</v>
      </c>
      <c r="AB22" s="260" t="s">
        <v>73</v>
      </c>
      <c r="AC22" s="261">
        <f t="shared" si="21"/>
        <v>15</v>
      </c>
      <c r="AD22" s="260" t="s">
        <v>74</v>
      </c>
      <c r="AE22" s="261">
        <f t="shared" si="22"/>
        <v>10</v>
      </c>
      <c r="AF22" s="262">
        <f t="shared" si="23"/>
        <v>100</v>
      </c>
      <c r="AG22" s="262" t="str">
        <f t="shared" si="24"/>
        <v>Fuerte</v>
      </c>
      <c r="AH22" s="263" t="s">
        <v>75</v>
      </c>
      <c r="AI22" s="262" t="str">
        <f t="shared" si="25"/>
        <v>Fuerte</v>
      </c>
      <c r="AJ22" s="262" t="str">
        <f>IFERROR(VLOOKUP((CONCATENATE(AG22,AI22)),Listados!$U$3:$V$11,2,FALSE),"")</f>
        <v>Fuerte</v>
      </c>
      <c r="AK22" s="262">
        <f t="shared" si="26"/>
        <v>100</v>
      </c>
      <c r="AL22" s="560"/>
      <c r="AM22" s="568"/>
      <c r="AN22" s="264">
        <f>+IF(AND(Q22="Preventivo",AM16="Fuerte"),2,IF(AND(Q22="Preventivo",AM16="Moderado"),1,0))</f>
        <v>1</v>
      </c>
      <c r="AO22" s="264">
        <f t="shared" si="47"/>
        <v>0</v>
      </c>
      <c r="AP22" s="264">
        <f>+K16-AN22</f>
        <v>3</v>
      </c>
      <c r="AQ22" s="264">
        <f>+M16-AO22</f>
        <v>5</v>
      </c>
      <c r="AR22" s="570"/>
      <c r="AS22" s="570"/>
      <c r="AT22" s="570"/>
      <c r="AU22" s="570"/>
      <c r="AV22" s="249"/>
      <c r="AW22" s="249"/>
      <c r="AX22" s="250"/>
      <c r="AY22" s="250"/>
      <c r="AZ22" s="249"/>
      <c r="BA22" s="249"/>
      <c r="BB22" s="438" t="s">
        <v>148</v>
      </c>
      <c r="BC22" s="529" t="s">
        <v>149</v>
      </c>
      <c r="BD22" s="794"/>
      <c r="BE22" s="756"/>
      <c r="BF22" s="759"/>
      <c r="BG22" s="762"/>
    </row>
    <row r="23" spans="1:59" ht="156.75">
      <c r="A23" s="635">
        <v>4</v>
      </c>
      <c r="B23" s="638" t="s">
        <v>150</v>
      </c>
      <c r="C23" s="641" t="s">
        <v>151</v>
      </c>
      <c r="D23" s="653" t="s">
        <v>152</v>
      </c>
      <c r="E23" s="584" t="s">
        <v>153</v>
      </c>
      <c r="F23" s="584" t="s">
        <v>65</v>
      </c>
      <c r="G23" s="92" t="s">
        <v>154</v>
      </c>
      <c r="H23" s="91" t="s">
        <v>155</v>
      </c>
      <c r="I23" s="92" t="s">
        <v>156</v>
      </c>
      <c r="J23" s="584" t="s">
        <v>69</v>
      </c>
      <c r="K23" s="569">
        <f>+VLOOKUP(J23,Listados!$K$8:$L$12,2,0)</f>
        <v>5</v>
      </c>
      <c r="L23" s="585" t="s">
        <v>107</v>
      </c>
      <c r="M23" s="569">
        <f>+VLOOKUP(L23,Listados!$K$13:$L$17,2,0)</f>
        <v>5</v>
      </c>
      <c r="N23" s="569" t="str">
        <f>IF(AND(J23&lt;&gt;"",L23&lt;&gt;""),VLOOKUP(J23&amp;L23,Listados!$M$3:$N$27,2,FALSE),"")</f>
        <v>Extremo</v>
      </c>
      <c r="O23" s="92" t="s">
        <v>157</v>
      </c>
      <c r="P23" s="105" t="s">
        <v>154</v>
      </c>
      <c r="Q23" s="106" t="s">
        <v>72</v>
      </c>
      <c r="R23" s="94" t="s">
        <v>73</v>
      </c>
      <c r="S23" s="93">
        <f t="shared" si="16"/>
        <v>15</v>
      </c>
      <c r="T23" s="94" t="s">
        <v>73</v>
      </c>
      <c r="U23" s="93">
        <f t="shared" si="17"/>
        <v>15</v>
      </c>
      <c r="V23" s="94" t="s">
        <v>73</v>
      </c>
      <c r="W23" s="93">
        <f t="shared" si="18"/>
        <v>15</v>
      </c>
      <c r="X23" s="94" t="s">
        <v>72</v>
      </c>
      <c r="Y23" s="93">
        <f t="shared" si="19"/>
        <v>15</v>
      </c>
      <c r="Z23" s="94" t="s">
        <v>73</v>
      </c>
      <c r="AA23" s="93">
        <f t="shared" si="20"/>
        <v>15</v>
      </c>
      <c r="AB23" s="94" t="s">
        <v>73</v>
      </c>
      <c r="AC23" s="93">
        <f t="shared" si="21"/>
        <v>15</v>
      </c>
      <c r="AD23" s="94" t="s">
        <v>74</v>
      </c>
      <c r="AE23" s="93">
        <f t="shared" si="22"/>
        <v>10</v>
      </c>
      <c r="AF23" s="96">
        <f t="shared" si="23"/>
        <v>100</v>
      </c>
      <c r="AG23" s="96" t="str">
        <f t="shared" si="24"/>
        <v>Fuerte</v>
      </c>
      <c r="AH23" s="107" t="s">
        <v>75</v>
      </c>
      <c r="AI23" s="96" t="str">
        <f t="shared" si="25"/>
        <v>Fuerte</v>
      </c>
      <c r="AJ23" s="96" t="str">
        <f>IFERROR(VLOOKUP((CONCATENATE(AG23,AI23)),Listados!$U$3:$V$11,2,FALSE),"")</f>
        <v>Fuerte</v>
      </c>
      <c r="AK23" s="96">
        <f t="shared" si="26"/>
        <v>100</v>
      </c>
      <c r="AL23" s="559">
        <f t="shared" ref="AL23" si="48">AVERAGE(AK23:AK26)</f>
        <v>100</v>
      </c>
      <c r="AM23" s="559" t="str">
        <f t="shared" ref="AM23" si="49">IF(AL23&lt;=50,"Débil",IF(AL23&lt;=99,"Moderado",IF(AL23=100,"fuerte","")))</f>
        <v>fuerte</v>
      </c>
      <c r="AN23" s="559">
        <f t="shared" ref="AN23" si="50">+IF(AND(Q23="Preventivo",AM23="Fuerte"),2,IF(AND(Q23="Preventivo",AM23="Moderado"),1,0))</f>
        <v>2</v>
      </c>
      <c r="AO23" s="559">
        <f t="shared" ref="AO23" si="51">+IF(AND(Q23="Detectivo",$AM23="Fuerte"),2,IF(AND(Q23="Detectivo",$AM23="Moderado"),1,IF(AND(Q23="Preventivo",$AM23="Fuerte"),1,0)))</f>
        <v>1</v>
      </c>
      <c r="AP23" s="566">
        <f t="shared" ref="AP23" si="52">+K23-AN23</f>
        <v>3</v>
      </c>
      <c r="AQ23" s="566">
        <f t="shared" ref="AQ23" si="53">+M23-AO23</f>
        <v>4</v>
      </c>
      <c r="AR23" s="569" t="str">
        <f>+VLOOKUP(MIN(AP23),Listados!$J$18:$K$24,2,TRUE)</f>
        <v>Posible</v>
      </c>
      <c r="AS23" s="569" t="str">
        <f>+VLOOKUP(MIN(AQ23),Listados!$J$26:$K$32,2,TRUE)</f>
        <v>Mayor</v>
      </c>
      <c r="AT23" s="569" t="str">
        <f>IF(AND(AR23&lt;&gt;"",AS23&lt;&gt;""),VLOOKUP(AR23&amp;AS23,Listados!$M$3:$N$27,2,FALSE),"")</f>
        <v>Extremo</v>
      </c>
      <c r="AU23" s="569" t="str">
        <f>+VLOOKUP(AT23,Listados!$P$3:$Q$6,2,FALSE)</f>
        <v>Reducir el riesgo</v>
      </c>
      <c r="AV23" s="145" t="s">
        <v>158</v>
      </c>
      <c r="AW23" s="121" t="s">
        <v>159</v>
      </c>
      <c r="AX23" s="122">
        <v>45658</v>
      </c>
      <c r="AY23" s="122">
        <v>45991</v>
      </c>
      <c r="AZ23" s="121" t="s">
        <v>160</v>
      </c>
      <c r="BA23" s="121" t="s">
        <v>161</v>
      </c>
      <c r="BB23" s="795" t="s">
        <v>162</v>
      </c>
      <c r="BC23" s="798" t="s">
        <v>163</v>
      </c>
      <c r="BD23" s="789"/>
      <c r="BE23" s="644" t="s">
        <v>164</v>
      </c>
      <c r="BF23" s="647" t="s">
        <v>1602</v>
      </c>
      <c r="BG23" s="650"/>
    </row>
    <row r="24" spans="1:59" ht="128.25" customHeight="1">
      <c r="A24" s="636"/>
      <c r="B24" s="639"/>
      <c r="C24" s="642"/>
      <c r="D24" s="654"/>
      <c r="E24" s="572"/>
      <c r="F24" s="572"/>
      <c r="G24" s="329" t="s">
        <v>165</v>
      </c>
      <c r="H24" s="328" t="s">
        <v>67</v>
      </c>
      <c r="I24" s="329" t="s">
        <v>166</v>
      </c>
      <c r="J24" s="572"/>
      <c r="K24" s="565"/>
      <c r="L24" s="573"/>
      <c r="M24" s="565"/>
      <c r="N24" s="565"/>
      <c r="O24" s="439" t="s">
        <v>167</v>
      </c>
      <c r="P24" s="73" t="s">
        <v>165</v>
      </c>
      <c r="Q24" s="331" t="s">
        <v>72</v>
      </c>
      <c r="R24" s="332" t="s">
        <v>73</v>
      </c>
      <c r="S24" s="333">
        <f t="shared" si="16"/>
        <v>15</v>
      </c>
      <c r="T24" s="332" t="s">
        <v>73</v>
      </c>
      <c r="U24" s="333">
        <f t="shared" si="17"/>
        <v>15</v>
      </c>
      <c r="V24" s="332" t="s">
        <v>73</v>
      </c>
      <c r="W24" s="333">
        <f t="shared" si="18"/>
        <v>15</v>
      </c>
      <c r="X24" s="332" t="s">
        <v>72</v>
      </c>
      <c r="Y24" s="333">
        <f t="shared" si="19"/>
        <v>15</v>
      </c>
      <c r="Z24" s="332" t="s">
        <v>73</v>
      </c>
      <c r="AA24" s="333">
        <f t="shared" si="20"/>
        <v>15</v>
      </c>
      <c r="AB24" s="332" t="s">
        <v>73</v>
      </c>
      <c r="AC24" s="333">
        <f t="shared" si="21"/>
        <v>15</v>
      </c>
      <c r="AD24" s="332" t="s">
        <v>74</v>
      </c>
      <c r="AE24" s="333">
        <f t="shared" si="22"/>
        <v>10</v>
      </c>
      <c r="AF24" s="334">
        <f t="shared" si="23"/>
        <v>100</v>
      </c>
      <c r="AG24" s="334" t="str">
        <f t="shared" si="24"/>
        <v>Fuerte</v>
      </c>
      <c r="AH24" s="335" t="s">
        <v>75</v>
      </c>
      <c r="AI24" s="334" t="str">
        <f t="shared" si="25"/>
        <v>Fuerte</v>
      </c>
      <c r="AJ24" s="334" t="str">
        <f>IFERROR(VLOOKUP((CONCATENATE(AG24,AI24)),Listados!$U$3:$V$11,2,FALSE),"")</f>
        <v>Fuerte</v>
      </c>
      <c r="AK24" s="334">
        <f t="shared" si="26"/>
        <v>100</v>
      </c>
      <c r="AL24" s="558"/>
      <c r="AM24" s="558"/>
      <c r="AN24" s="558"/>
      <c r="AO24" s="558"/>
      <c r="AP24" s="567"/>
      <c r="AQ24" s="567"/>
      <c r="AR24" s="565"/>
      <c r="AS24" s="565"/>
      <c r="AT24" s="565"/>
      <c r="AU24" s="565"/>
      <c r="AV24" s="346" t="s">
        <v>168</v>
      </c>
      <c r="AW24" s="344" t="s">
        <v>159</v>
      </c>
      <c r="AX24" s="344">
        <v>45778</v>
      </c>
      <c r="AY24" s="344">
        <v>45991</v>
      </c>
      <c r="AZ24" s="344" t="s">
        <v>169</v>
      </c>
      <c r="BA24" s="344" t="s">
        <v>170</v>
      </c>
      <c r="BB24" s="796"/>
      <c r="BC24" s="799"/>
      <c r="BD24" s="790"/>
      <c r="BE24" s="645"/>
      <c r="BF24" s="648"/>
      <c r="BG24" s="651"/>
    </row>
    <row r="25" spans="1:59" ht="69.75" customHeight="1">
      <c r="A25" s="636"/>
      <c r="B25" s="639"/>
      <c r="C25" s="642"/>
      <c r="D25" s="654"/>
      <c r="E25" s="572"/>
      <c r="F25" s="572"/>
      <c r="G25" s="329"/>
      <c r="H25" s="337"/>
      <c r="I25" s="337"/>
      <c r="J25" s="572"/>
      <c r="K25" s="565"/>
      <c r="L25" s="573"/>
      <c r="M25" s="565"/>
      <c r="N25" s="565"/>
      <c r="O25" s="347"/>
      <c r="P25" s="73"/>
      <c r="Q25" s="348"/>
      <c r="R25" s="332"/>
      <c r="S25" s="333" t="str">
        <f t="shared" si="16"/>
        <v>0</v>
      </c>
      <c r="T25" s="332"/>
      <c r="U25" s="333" t="str">
        <f t="shared" si="17"/>
        <v>0</v>
      </c>
      <c r="V25" s="332"/>
      <c r="W25" s="333" t="str">
        <f t="shared" si="18"/>
        <v>0</v>
      </c>
      <c r="X25" s="332"/>
      <c r="Y25" s="333" t="str">
        <f t="shared" si="19"/>
        <v>0</v>
      </c>
      <c r="Z25" s="332"/>
      <c r="AA25" s="333" t="str">
        <f t="shared" si="20"/>
        <v>0</v>
      </c>
      <c r="AB25" s="332"/>
      <c r="AC25" s="333" t="str">
        <f t="shared" si="21"/>
        <v>0</v>
      </c>
      <c r="AD25" s="332"/>
      <c r="AE25" s="333" t="str">
        <f t="shared" si="22"/>
        <v>0</v>
      </c>
      <c r="AF25" s="334" t="str">
        <f t="shared" si="23"/>
        <v/>
      </c>
      <c r="AG25" s="334" t="str">
        <f t="shared" si="24"/>
        <v/>
      </c>
      <c r="AH25" s="335"/>
      <c r="AI25" s="334" t="str">
        <f t="shared" si="25"/>
        <v/>
      </c>
      <c r="AJ25" s="334" t="str">
        <f>IFERROR(VLOOKUP((CONCATENATE(AG25,AI25)),Listados!$U$3:$V$11,2,FALSE),"")</f>
        <v/>
      </c>
      <c r="AK25" s="334" t="str">
        <f t="shared" si="26"/>
        <v/>
      </c>
      <c r="AL25" s="558"/>
      <c r="AM25" s="558"/>
      <c r="AN25" s="558"/>
      <c r="AO25" s="558"/>
      <c r="AP25" s="567"/>
      <c r="AQ25" s="567"/>
      <c r="AR25" s="565"/>
      <c r="AS25" s="565"/>
      <c r="AT25" s="565"/>
      <c r="AU25" s="565"/>
      <c r="AV25" s="346" t="s">
        <v>171</v>
      </c>
      <c r="AW25" s="344" t="s">
        <v>159</v>
      </c>
      <c r="AX25" s="349">
        <v>45658</v>
      </c>
      <c r="AY25" s="349">
        <v>45991</v>
      </c>
      <c r="AZ25" s="344" t="s">
        <v>172</v>
      </c>
      <c r="BA25" s="344" t="s">
        <v>173</v>
      </c>
      <c r="BB25" s="796"/>
      <c r="BC25" s="799"/>
      <c r="BD25" s="790"/>
      <c r="BE25" s="645"/>
      <c r="BF25" s="648"/>
      <c r="BG25" s="651"/>
    </row>
    <row r="26" spans="1:59" ht="86.25" customHeight="1">
      <c r="A26" s="637"/>
      <c r="B26" s="640"/>
      <c r="C26" s="643"/>
      <c r="D26" s="655"/>
      <c r="E26" s="586"/>
      <c r="F26" s="586"/>
      <c r="G26" s="256"/>
      <c r="H26" s="257"/>
      <c r="I26" s="257"/>
      <c r="J26" s="586"/>
      <c r="K26" s="570"/>
      <c r="L26" s="587"/>
      <c r="M26" s="570"/>
      <c r="N26" s="570"/>
      <c r="O26" s="258"/>
      <c r="P26" s="146"/>
      <c r="Q26" s="269"/>
      <c r="R26" s="260"/>
      <c r="S26" s="261" t="str">
        <f t="shared" si="16"/>
        <v>0</v>
      </c>
      <c r="T26" s="260"/>
      <c r="U26" s="261" t="str">
        <f t="shared" si="17"/>
        <v>0</v>
      </c>
      <c r="V26" s="260"/>
      <c r="W26" s="261" t="str">
        <f t="shared" si="18"/>
        <v>0</v>
      </c>
      <c r="X26" s="260"/>
      <c r="Y26" s="261" t="str">
        <f t="shared" si="19"/>
        <v>0</v>
      </c>
      <c r="Z26" s="260"/>
      <c r="AA26" s="261" t="str">
        <f t="shared" si="20"/>
        <v>0</v>
      </c>
      <c r="AB26" s="260"/>
      <c r="AC26" s="261" t="str">
        <f t="shared" si="21"/>
        <v>0</v>
      </c>
      <c r="AD26" s="260"/>
      <c r="AE26" s="261" t="str">
        <f t="shared" si="22"/>
        <v>0</v>
      </c>
      <c r="AF26" s="262" t="str">
        <f t="shared" si="23"/>
        <v/>
      </c>
      <c r="AG26" s="262" t="str">
        <f t="shared" si="24"/>
        <v/>
      </c>
      <c r="AH26" s="263"/>
      <c r="AI26" s="262" t="str">
        <f t="shared" si="25"/>
        <v/>
      </c>
      <c r="AJ26" s="262" t="str">
        <f>IFERROR(VLOOKUP((CONCATENATE(AG26,AI26)),Listados!$U$3:$V$11,2,FALSE),"")</f>
        <v/>
      </c>
      <c r="AK26" s="262" t="str">
        <f t="shared" si="26"/>
        <v/>
      </c>
      <c r="AL26" s="560"/>
      <c r="AM26" s="560"/>
      <c r="AN26" s="560"/>
      <c r="AO26" s="560"/>
      <c r="AP26" s="568"/>
      <c r="AQ26" s="568"/>
      <c r="AR26" s="570"/>
      <c r="AS26" s="570"/>
      <c r="AT26" s="570"/>
      <c r="AU26" s="570"/>
      <c r="AV26" s="270" t="s">
        <v>174</v>
      </c>
      <c r="AW26" s="267" t="s">
        <v>175</v>
      </c>
      <c r="AX26" s="252">
        <v>45778</v>
      </c>
      <c r="AY26" s="252">
        <v>45991</v>
      </c>
      <c r="AZ26" s="267" t="s">
        <v>176</v>
      </c>
      <c r="BA26" s="267" t="s">
        <v>173</v>
      </c>
      <c r="BB26" s="797"/>
      <c r="BC26" s="800"/>
      <c r="BD26" s="791"/>
      <c r="BE26" s="646"/>
      <c r="BF26" s="649"/>
      <c r="BG26" s="652"/>
    </row>
    <row r="27" spans="1:59" ht="128.25">
      <c r="A27" s="635">
        <v>5</v>
      </c>
      <c r="B27" s="638" t="s">
        <v>150</v>
      </c>
      <c r="C27" s="641" t="s">
        <v>151</v>
      </c>
      <c r="D27" s="653" t="s">
        <v>177</v>
      </c>
      <c r="E27" s="584" t="s">
        <v>64</v>
      </c>
      <c r="F27" s="584" t="s">
        <v>65</v>
      </c>
      <c r="G27" s="92" t="s">
        <v>178</v>
      </c>
      <c r="H27" s="91" t="s">
        <v>155</v>
      </c>
      <c r="I27" s="92" t="s">
        <v>179</v>
      </c>
      <c r="J27" s="584" t="s">
        <v>180</v>
      </c>
      <c r="K27" s="569">
        <f>+VLOOKUP(J27,Listados!$K$8:$L$12,2,0)</f>
        <v>2</v>
      </c>
      <c r="L27" s="585" t="s">
        <v>107</v>
      </c>
      <c r="M27" s="569">
        <f>+VLOOKUP(L27,Listados!$K$13:$L$17,2,0)</f>
        <v>5</v>
      </c>
      <c r="N27" s="569" t="str">
        <f>IF(AND(J27&lt;&gt;"",L27&lt;&gt;""),VLOOKUP(J27&amp;L27,Listados!$M$3:$N$27,2,FALSE),"")</f>
        <v>Extremo</v>
      </c>
      <c r="O27" s="440" t="s">
        <v>181</v>
      </c>
      <c r="P27" s="105" t="s">
        <v>178</v>
      </c>
      <c r="Q27" s="130" t="s">
        <v>83</v>
      </c>
      <c r="R27" s="94" t="s">
        <v>73</v>
      </c>
      <c r="S27" s="93">
        <f t="shared" si="16"/>
        <v>15</v>
      </c>
      <c r="T27" s="94" t="s">
        <v>73</v>
      </c>
      <c r="U27" s="93">
        <f t="shared" si="17"/>
        <v>15</v>
      </c>
      <c r="V27" s="94" t="s">
        <v>73</v>
      </c>
      <c r="W27" s="93">
        <f t="shared" si="18"/>
        <v>15</v>
      </c>
      <c r="X27" s="94" t="s">
        <v>72</v>
      </c>
      <c r="Y27" s="93">
        <f t="shared" si="19"/>
        <v>15</v>
      </c>
      <c r="Z27" s="94" t="s">
        <v>73</v>
      </c>
      <c r="AA27" s="93">
        <f t="shared" si="20"/>
        <v>15</v>
      </c>
      <c r="AB27" s="94" t="s">
        <v>73</v>
      </c>
      <c r="AC27" s="93">
        <f t="shared" si="21"/>
        <v>15</v>
      </c>
      <c r="AD27" s="94" t="s">
        <v>74</v>
      </c>
      <c r="AE27" s="93">
        <f t="shared" si="22"/>
        <v>10</v>
      </c>
      <c r="AF27" s="96">
        <f t="shared" si="23"/>
        <v>100</v>
      </c>
      <c r="AG27" s="96" t="str">
        <f t="shared" si="24"/>
        <v>Fuerte</v>
      </c>
      <c r="AH27" s="107" t="s">
        <v>75</v>
      </c>
      <c r="AI27" s="96" t="str">
        <f t="shared" si="25"/>
        <v>Fuerte</v>
      </c>
      <c r="AJ27" s="96" t="str">
        <f>IFERROR(VLOOKUP((CONCATENATE(AG27,AI27)),Listados!$U$3:$V$11,2,FALSE),"")</f>
        <v>Fuerte</v>
      </c>
      <c r="AK27" s="96">
        <f t="shared" si="26"/>
        <v>100</v>
      </c>
      <c r="AL27" s="559">
        <f t="shared" ref="AL27" si="54">AVERAGE(AK27:AK30)</f>
        <v>100</v>
      </c>
      <c r="AM27" s="559" t="str">
        <f t="shared" ref="AM27" si="55">IF(AL27&lt;=50,"Débil",IF(AL27&lt;=99,"Moderado",IF(AL27=100,"fuerte","")))</f>
        <v>fuerte</v>
      </c>
      <c r="AN27" s="559">
        <f t="shared" ref="AN27" si="56">+IF(AND(Q27="Preventivo",AM27="Fuerte"),2,IF(AND(Q27="Preventivo",AM27="Moderado"),1,0))</f>
        <v>0</v>
      </c>
      <c r="AO27" s="559">
        <f t="shared" ref="AO27" si="57">+IF(AND(Q27="Detectivo",$AM27="Fuerte"),2,IF(AND(Q27="Detectivo",$AM27="Moderado"),1,IF(AND(Q27="Preventivo",$AM27="Fuerte"),1,0)))</f>
        <v>2</v>
      </c>
      <c r="AP27" s="566">
        <f t="shared" ref="AP27" si="58">+K27-AN27</f>
        <v>2</v>
      </c>
      <c r="AQ27" s="566">
        <f t="shared" ref="AQ27" si="59">+M27-AO27</f>
        <v>3</v>
      </c>
      <c r="AR27" s="569" t="str">
        <f>+VLOOKUP(MIN(AP27),Listados!$J$18:$K$24,2,TRUE)</f>
        <v>Improbable</v>
      </c>
      <c r="AS27" s="569" t="str">
        <f>+VLOOKUP(MIN(AQ27),Listados!$J$26:$K$32,2,TRUE)</f>
        <v>Moderado</v>
      </c>
      <c r="AT27" s="569" t="str">
        <f>IF(AND(AR27&lt;&gt;"",AS27&lt;&gt;""),VLOOKUP(AR27&amp;AS27,Listados!$M$3:$N$27,2,FALSE),"")</f>
        <v>Moderado</v>
      </c>
      <c r="AU27" s="569" t="str">
        <f>+VLOOKUP(AT27,Listados!$P$3:$Q$6,2,FALSE)</f>
        <v>Asumir el riesgo</v>
      </c>
      <c r="AV27" s="120" t="s">
        <v>182</v>
      </c>
      <c r="AW27" s="97"/>
      <c r="AX27" s="98"/>
      <c r="AY27" s="99"/>
      <c r="AZ27" s="97"/>
      <c r="BA27" s="97"/>
      <c r="BB27" s="666" t="s">
        <v>183</v>
      </c>
      <c r="BC27" s="801" t="s">
        <v>184</v>
      </c>
      <c r="BD27" s="789"/>
      <c r="BE27" s="763" t="s">
        <v>1594</v>
      </c>
      <c r="BF27" s="647" t="s">
        <v>1603</v>
      </c>
      <c r="BG27" s="650"/>
    </row>
    <row r="28" spans="1:59" ht="107.25" customHeight="1">
      <c r="A28" s="636"/>
      <c r="B28" s="639"/>
      <c r="C28" s="642"/>
      <c r="D28" s="654"/>
      <c r="E28" s="572"/>
      <c r="F28" s="572"/>
      <c r="G28" s="329" t="s">
        <v>185</v>
      </c>
      <c r="H28" s="328" t="s">
        <v>155</v>
      </c>
      <c r="I28" s="329" t="s">
        <v>186</v>
      </c>
      <c r="J28" s="572"/>
      <c r="K28" s="565"/>
      <c r="L28" s="573"/>
      <c r="M28" s="565"/>
      <c r="N28" s="565"/>
      <c r="O28" s="550" t="s">
        <v>187</v>
      </c>
      <c r="P28" s="330" t="s">
        <v>185</v>
      </c>
      <c r="Q28" s="552" t="s">
        <v>83</v>
      </c>
      <c r="R28" s="554" t="s">
        <v>73</v>
      </c>
      <c r="S28" s="556">
        <f t="shared" si="16"/>
        <v>15</v>
      </c>
      <c r="T28" s="554" t="s">
        <v>73</v>
      </c>
      <c r="U28" s="556">
        <f t="shared" si="17"/>
        <v>15</v>
      </c>
      <c r="V28" s="554" t="s">
        <v>73</v>
      </c>
      <c r="W28" s="556">
        <f t="shared" si="18"/>
        <v>15</v>
      </c>
      <c r="X28" s="554" t="s">
        <v>72</v>
      </c>
      <c r="Y28" s="556">
        <f t="shared" si="19"/>
        <v>15</v>
      </c>
      <c r="Z28" s="554" t="s">
        <v>73</v>
      </c>
      <c r="AA28" s="556">
        <f t="shared" si="20"/>
        <v>15</v>
      </c>
      <c r="AB28" s="554" t="s">
        <v>73</v>
      </c>
      <c r="AC28" s="556">
        <f t="shared" si="21"/>
        <v>15</v>
      </c>
      <c r="AD28" s="554" t="s">
        <v>74</v>
      </c>
      <c r="AE28" s="556">
        <f t="shared" si="22"/>
        <v>10</v>
      </c>
      <c r="AF28" s="563">
        <f t="shared" si="23"/>
        <v>100</v>
      </c>
      <c r="AG28" s="563" t="str">
        <f>IF(AF28&lt;=85,"Débil",IF(AF28&lt;=95,"Moderado",IF(AF28=100,"Fuerte","")))</f>
        <v>Fuerte</v>
      </c>
      <c r="AH28" s="596" t="s">
        <v>75</v>
      </c>
      <c r="AI28" s="563" t="str">
        <f>+IF(AH28="siempre","Fuerte",IF(AH28="Algunas veces","Moderado",IF(AH28="No se ejecuta","Débil","")))</f>
        <v>Fuerte</v>
      </c>
      <c r="AJ28" s="563" t="str">
        <f>IFERROR(VLOOKUP((CONCATENATE(AG28,AI28)),Listados!$U$3:$V$11,2,FALSE),"")</f>
        <v>Fuerte</v>
      </c>
      <c r="AK28" s="563">
        <f t="shared" si="26"/>
        <v>100</v>
      </c>
      <c r="AL28" s="558"/>
      <c r="AM28" s="558"/>
      <c r="AN28" s="558"/>
      <c r="AO28" s="558"/>
      <c r="AP28" s="567"/>
      <c r="AQ28" s="567"/>
      <c r="AR28" s="565"/>
      <c r="AS28" s="565"/>
      <c r="AT28" s="565"/>
      <c r="AU28" s="565"/>
      <c r="AV28" s="336"/>
      <c r="AW28" s="336"/>
      <c r="AX28" s="336"/>
      <c r="AY28" s="336"/>
      <c r="AZ28" s="336"/>
      <c r="BA28" s="336"/>
      <c r="BB28" s="667"/>
      <c r="BC28" s="787"/>
      <c r="BD28" s="790"/>
      <c r="BE28" s="764"/>
      <c r="BF28" s="648"/>
      <c r="BG28" s="651"/>
    </row>
    <row r="29" spans="1:59" ht="120" customHeight="1">
      <c r="A29" s="636"/>
      <c r="B29" s="639"/>
      <c r="C29" s="642"/>
      <c r="D29" s="654"/>
      <c r="E29" s="572"/>
      <c r="F29" s="572"/>
      <c r="G29" s="625" t="s">
        <v>188</v>
      </c>
      <c r="H29" s="548" t="s">
        <v>155</v>
      </c>
      <c r="I29" s="329" t="s">
        <v>189</v>
      </c>
      <c r="J29" s="572"/>
      <c r="K29" s="565"/>
      <c r="L29" s="573"/>
      <c r="M29" s="565"/>
      <c r="N29" s="565"/>
      <c r="O29" s="551"/>
      <c r="P29" s="330" t="s">
        <v>188</v>
      </c>
      <c r="Q29" s="553"/>
      <c r="R29" s="555"/>
      <c r="S29" s="557"/>
      <c r="T29" s="555"/>
      <c r="U29" s="557"/>
      <c r="V29" s="555"/>
      <c r="W29" s="557"/>
      <c r="X29" s="555"/>
      <c r="Y29" s="557"/>
      <c r="Z29" s="555"/>
      <c r="AA29" s="557"/>
      <c r="AB29" s="555"/>
      <c r="AC29" s="557"/>
      <c r="AD29" s="555"/>
      <c r="AE29" s="557"/>
      <c r="AF29" s="564"/>
      <c r="AG29" s="564"/>
      <c r="AH29" s="851"/>
      <c r="AI29" s="564"/>
      <c r="AJ29" s="564"/>
      <c r="AK29" s="564"/>
      <c r="AL29" s="558"/>
      <c r="AM29" s="558"/>
      <c r="AN29" s="558"/>
      <c r="AO29" s="558"/>
      <c r="AP29" s="567"/>
      <c r="AQ29" s="567"/>
      <c r="AR29" s="565"/>
      <c r="AS29" s="565"/>
      <c r="AT29" s="565"/>
      <c r="AU29" s="565"/>
      <c r="AV29" s="336"/>
      <c r="AW29" s="336"/>
      <c r="AX29" s="339"/>
      <c r="AY29" s="339"/>
      <c r="AZ29" s="336"/>
      <c r="BA29" s="336"/>
      <c r="BB29" s="667"/>
      <c r="BC29" s="787"/>
      <c r="BD29" s="790"/>
      <c r="BE29" s="764"/>
      <c r="BF29" s="648"/>
      <c r="BG29" s="651"/>
    </row>
    <row r="30" spans="1:59" ht="75" customHeight="1">
      <c r="A30" s="637"/>
      <c r="B30" s="640"/>
      <c r="C30" s="643"/>
      <c r="D30" s="655"/>
      <c r="E30" s="586"/>
      <c r="F30" s="586"/>
      <c r="G30" s="626"/>
      <c r="H30" s="549"/>
      <c r="I30" s="256" t="s">
        <v>190</v>
      </c>
      <c r="J30" s="586"/>
      <c r="K30" s="570"/>
      <c r="L30" s="587"/>
      <c r="M30" s="570"/>
      <c r="N30" s="570"/>
      <c r="O30" s="258"/>
      <c r="P30" s="265"/>
      <c r="Q30" s="269"/>
      <c r="R30" s="260"/>
      <c r="S30" s="261" t="str">
        <f t="shared" si="16"/>
        <v>0</v>
      </c>
      <c r="T30" s="260"/>
      <c r="U30" s="261" t="str">
        <f t="shared" si="17"/>
        <v>0</v>
      </c>
      <c r="V30" s="260"/>
      <c r="W30" s="261" t="str">
        <f t="shared" si="18"/>
        <v>0</v>
      </c>
      <c r="X30" s="260"/>
      <c r="Y30" s="261" t="str">
        <f t="shared" si="19"/>
        <v>0</v>
      </c>
      <c r="Z30" s="260"/>
      <c r="AA30" s="261" t="str">
        <f t="shared" si="20"/>
        <v>0</v>
      </c>
      <c r="AB30" s="260"/>
      <c r="AC30" s="261" t="str">
        <f t="shared" si="21"/>
        <v>0</v>
      </c>
      <c r="AD30" s="260"/>
      <c r="AE30" s="261" t="str">
        <f t="shared" si="22"/>
        <v>0</v>
      </c>
      <c r="AF30" s="262" t="str">
        <f t="shared" si="23"/>
        <v/>
      </c>
      <c r="AG30" s="262" t="str">
        <f t="shared" si="24"/>
        <v/>
      </c>
      <c r="AH30" s="263"/>
      <c r="AI30" s="262" t="str">
        <f t="shared" si="25"/>
        <v/>
      </c>
      <c r="AJ30" s="262" t="str">
        <f>IFERROR(VLOOKUP((CONCATENATE(AG30,AI30)),Listados!$U$3:$V$11,2,FALSE),"")</f>
        <v/>
      </c>
      <c r="AK30" s="262" t="str">
        <f t="shared" si="26"/>
        <v/>
      </c>
      <c r="AL30" s="560"/>
      <c r="AM30" s="560"/>
      <c r="AN30" s="560"/>
      <c r="AO30" s="560"/>
      <c r="AP30" s="568"/>
      <c r="AQ30" s="568"/>
      <c r="AR30" s="570"/>
      <c r="AS30" s="570"/>
      <c r="AT30" s="570"/>
      <c r="AU30" s="570"/>
      <c r="AV30" s="249"/>
      <c r="AW30" s="249"/>
      <c r="AX30" s="250"/>
      <c r="AY30" s="250"/>
      <c r="AZ30" s="249"/>
      <c r="BA30" s="249"/>
      <c r="BB30" s="668"/>
      <c r="BC30" s="788"/>
      <c r="BD30" s="791"/>
      <c r="BE30" s="765"/>
      <c r="BF30" s="649"/>
      <c r="BG30" s="652"/>
    </row>
    <row r="31" spans="1:59" ht="99.75">
      <c r="A31" s="658">
        <v>6</v>
      </c>
      <c r="B31" s="659" t="s">
        <v>150</v>
      </c>
      <c r="C31" s="660" t="s">
        <v>191</v>
      </c>
      <c r="D31" s="574" t="s">
        <v>192</v>
      </c>
      <c r="E31" s="574" t="s">
        <v>85</v>
      </c>
      <c r="F31" s="574" t="s">
        <v>65</v>
      </c>
      <c r="G31" s="90" t="s">
        <v>193</v>
      </c>
      <c r="H31" s="85" t="s">
        <v>155</v>
      </c>
      <c r="I31" s="90" t="s">
        <v>194</v>
      </c>
      <c r="J31" s="574" t="s">
        <v>88</v>
      </c>
      <c r="K31" s="557">
        <f>+VLOOKUP(J31,Listados!$K$8:$L$12,2,0)</f>
        <v>3</v>
      </c>
      <c r="L31" s="555" t="s">
        <v>89</v>
      </c>
      <c r="M31" s="557">
        <f>+VLOOKUP(L31,Listados!$K$13:$L$17,2,0)</f>
        <v>3</v>
      </c>
      <c r="N31" s="557" t="str">
        <f>IF(AND(J31&lt;&gt;"",L31&lt;&gt;""),VLOOKUP(J31&amp;L31,Listados!$M$3:$N$27,2,FALSE),"")</f>
        <v>Alto</v>
      </c>
      <c r="O31" s="144" t="s">
        <v>195</v>
      </c>
      <c r="P31" s="73" t="s">
        <v>193</v>
      </c>
      <c r="Q31" s="74" t="s">
        <v>72</v>
      </c>
      <c r="R31" s="44" t="s">
        <v>73</v>
      </c>
      <c r="S31" s="53">
        <f t="shared" si="16"/>
        <v>15</v>
      </c>
      <c r="T31" s="44" t="s">
        <v>73</v>
      </c>
      <c r="U31" s="53">
        <f t="shared" si="17"/>
        <v>15</v>
      </c>
      <c r="V31" s="44" t="s">
        <v>73</v>
      </c>
      <c r="W31" s="53">
        <f t="shared" si="18"/>
        <v>15</v>
      </c>
      <c r="X31" s="44" t="s">
        <v>72</v>
      </c>
      <c r="Y31" s="53">
        <f t="shared" si="19"/>
        <v>15</v>
      </c>
      <c r="Z31" s="44" t="s">
        <v>73</v>
      </c>
      <c r="AA31" s="53">
        <f t="shared" si="20"/>
        <v>15</v>
      </c>
      <c r="AB31" s="44" t="s">
        <v>73</v>
      </c>
      <c r="AC31" s="53">
        <f t="shared" si="21"/>
        <v>15</v>
      </c>
      <c r="AD31" s="44" t="s">
        <v>74</v>
      </c>
      <c r="AE31" s="53">
        <f t="shared" si="22"/>
        <v>10</v>
      </c>
      <c r="AF31" s="71">
        <f t="shared" si="23"/>
        <v>100</v>
      </c>
      <c r="AG31" s="71" t="str">
        <f t="shared" si="24"/>
        <v>Fuerte</v>
      </c>
      <c r="AH31" s="75" t="s">
        <v>75</v>
      </c>
      <c r="AI31" s="71" t="str">
        <f t="shared" si="25"/>
        <v>Fuerte</v>
      </c>
      <c r="AJ31" s="71" t="str">
        <f>IFERROR(VLOOKUP((CONCATENATE(AG31,AI31)),Listados!$U$3:$V$11,2,FALSE),"")</f>
        <v>Fuerte</v>
      </c>
      <c r="AK31" s="71">
        <f t="shared" si="26"/>
        <v>100</v>
      </c>
      <c r="AL31" s="564">
        <f t="shared" ref="AL31" si="60">AVERAGE(AK31:AK34)</f>
        <v>100</v>
      </c>
      <c r="AM31" s="564" t="str">
        <f t="shared" ref="AM31" si="61">IF(AL31&lt;=50,"Débil",IF(AL31&lt;=99,"Moderado",IF(AL31=100,"fuerte","")))</f>
        <v>fuerte</v>
      </c>
      <c r="AN31" s="564">
        <f t="shared" ref="AN31" si="62">+IF(AND(Q31="Preventivo",AM31="Fuerte"),2,IF(AND(Q31="Preventivo",AM31="Moderado"),1,0))</f>
        <v>2</v>
      </c>
      <c r="AO31" s="564">
        <f t="shared" ref="AO31" si="63">+IF(AND(Q31="Detectivo",$AM31="Fuerte"),2,IF(AND(Q31="Detectivo",$AM31="Moderado"),1,IF(AND(Q31="Preventivo",$AM31="Fuerte"),1,0)))</f>
        <v>1</v>
      </c>
      <c r="AP31" s="567">
        <f t="shared" ref="AP31" si="64">+K31-AN31</f>
        <v>1</v>
      </c>
      <c r="AQ31" s="567">
        <f t="shared" ref="AQ31" si="65">+M31-AO31</f>
        <v>2</v>
      </c>
      <c r="AR31" s="557" t="str">
        <f>+VLOOKUP(MIN(AP31),Listados!$J$18:$K$24,2,TRUE)</f>
        <v>Rara Vez</v>
      </c>
      <c r="AS31" s="557" t="str">
        <f>+VLOOKUP(MIN(AQ31),Listados!$J$26:$K$32,2,TRUE)</f>
        <v>Menor</v>
      </c>
      <c r="AT31" s="557" t="str">
        <f>IF(AND(AR31&lt;&gt;"",AS31&lt;&gt;""),VLOOKUP(AR31&amp;AS31,Listados!$M$3:$N$27,2,FALSE),"")</f>
        <v>Bajo</v>
      </c>
      <c r="AU31" s="557" t="str">
        <f>+VLOOKUP(AT31,Listados!$P$3:$Q$6,2,FALSE)</f>
        <v>Asumir el riesgo</v>
      </c>
      <c r="AV31" s="143" t="s">
        <v>182</v>
      </c>
      <c r="AW31" s="76"/>
      <c r="AX31" s="77"/>
      <c r="AY31" s="78"/>
      <c r="AZ31" s="76"/>
      <c r="BA31" s="76"/>
      <c r="BB31" s="667" t="s">
        <v>196</v>
      </c>
      <c r="BC31" s="786" t="s">
        <v>197</v>
      </c>
      <c r="BD31" s="790"/>
      <c r="BE31" s="766" t="s">
        <v>1595</v>
      </c>
      <c r="BF31" s="767" t="s">
        <v>1604</v>
      </c>
      <c r="BG31" s="651"/>
    </row>
    <row r="32" spans="1:59" ht="85.5">
      <c r="A32" s="636"/>
      <c r="B32" s="639"/>
      <c r="C32" s="661"/>
      <c r="D32" s="572"/>
      <c r="E32" s="572"/>
      <c r="F32" s="572"/>
      <c r="G32" s="329" t="s">
        <v>198</v>
      </c>
      <c r="H32" s="328" t="s">
        <v>155</v>
      </c>
      <c r="I32" s="329" t="s">
        <v>199</v>
      </c>
      <c r="J32" s="572"/>
      <c r="K32" s="565"/>
      <c r="L32" s="573"/>
      <c r="M32" s="565"/>
      <c r="N32" s="565"/>
      <c r="O32" s="591" t="s">
        <v>200</v>
      </c>
      <c r="P32" s="330" t="s">
        <v>198</v>
      </c>
      <c r="Q32" s="552" t="s">
        <v>72</v>
      </c>
      <c r="R32" s="554" t="s">
        <v>73</v>
      </c>
      <c r="S32" s="556">
        <f t="shared" si="16"/>
        <v>15</v>
      </c>
      <c r="T32" s="554" t="s">
        <v>73</v>
      </c>
      <c r="U32" s="556">
        <f t="shared" si="17"/>
        <v>15</v>
      </c>
      <c r="V32" s="554" t="s">
        <v>73</v>
      </c>
      <c r="W32" s="556">
        <f t="shared" si="18"/>
        <v>15</v>
      </c>
      <c r="X32" s="554" t="s">
        <v>72</v>
      </c>
      <c r="Y32" s="556">
        <f t="shared" si="19"/>
        <v>15</v>
      </c>
      <c r="Z32" s="554" t="s">
        <v>73</v>
      </c>
      <c r="AA32" s="556">
        <f t="shared" si="20"/>
        <v>15</v>
      </c>
      <c r="AB32" s="554" t="s">
        <v>73</v>
      </c>
      <c r="AC32" s="556">
        <f t="shared" si="21"/>
        <v>15</v>
      </c>
      <c r="AD32" s="554" t="s">
        <v>74</v>
      </c>
      <c r="AE32" s="556">
        <f t="shared" si="22"/>
        <v>10</v>
      </c>
      <c r="AF32" s="563">
        <f t="shared" si="23"/>
        <v>100</v>
      </c>
      <c r="AG32" s="563" t="str">
        <f t="shared" si="24"/>
        <v>Fuerte</v>
      </c>
      <c r="AH32" s="596" t="s">
        <v>75</v>
      </c>
      <c r="AI32" s="563" t="str">
        <f t="shared" si="25"/>
        <v>Fuerte</v>
      </c>
      <c r="AJ32" s="563" t="str">
        <f>IFERROR(VLOOKUP((CONCATENATE(AG32,AI32)),Listados!$U$3:$V$11,2,FALSE),"")</f>
        <v>Fuerte</v>
      </c>
      <c r="AK32" s="563">
        <f t="shared" si="26"/>
        <v>100</v>
      </c>
      <c r="AL32" s="558"/>
      <c r="AM32" s="558"/>
      <c r="AN32" s="558"/>
      <c r="AO32" s="558"/>
      <c r="AP32" s="567"/>
      <c r="AQ32" s="567"/>
      <c r="AR32" s="565"/>
      <c r="AS32" s="565"/>
      <c r="AT32" s="565"/>
      <c r="AU32" s="565"/>
      <c r="AV32" s="336"/>
      <c r="AW32" s="336"/>
      <c r="AX32" s="336"/>
      <c r="AY32" s="336"/>
      <c r="AZ32" s="336"/>
      <c r="BA32" s="336"/>
      <c r="BB32" s="667"/>
      <c r="BC32" s="787"/>
      <c r="BD32" s="790"/>
      <c r="BE32" s="645"/>
      <c r="BF32" s="768"/>
      <c r="BG32" s="651"/>
    </row>
    <row r="33" spans="1:59" ht="80.25" customHeight="1">
      <c r="A33" s="636"/>
      <c r="B33" s="639"/>
      <c r="C33" s="661"/>
      <c r="D33" s="572"/>
      <c r="E33" s="572"/>
      <c r="F33" s="572"/>
      <c r="G33" s="329" t="s">
        <v>201</v>
      </c>
      <c r="H33" s="328" t="s">
        <v>155</v>
      </c>
      <c r="I33" s="329" t="s">
        <v>202</v>
      </c>
      <c r="J33" s="572"/>
      <c r="K33" s="565"/>
      <c r="L33" s="573"/>
      <c r="M33" s="565"/>
      <c r="N33" s="565"/>
      <c r="O33" s="592"/>
      <c r="P33" s="330" t="s">
        <v>201</v>
      </c>
      <c r="Q33" s="594"/>
      <c r="R33" s="580"/>
      <c r="S33" s="582"/>
      <c r="T33" s="580"/>
      <c r="U33" s="582"/>
      <c r="V33" s="580"/>
      <c r="W33" s="582"/>
      <c r="X33" s="580"/>
      <c r="Y33" s="582"/>
      <c r="Z33" s="580"/>
      <c r="AA33" s="582"/>
      <c r="AB33" s="580"/>
      <c r="AC33" s="582"/>
      <c r="AD33" s="580"/>
      <c r="AE33" s="582"/>
      <c r="AF33" s="567"/>
      <c r="AG33" s="567"/>
      <c r="AH33" s="597"/>
      <c r="AI33" s="567"/>
      <c r="AJ33" s="567"/>
      <c r="AK33" s="567"/>
      <c r="AL33" s="558"/>
      <c r="AM33" s="558"/>
      <c r="AN33" s="558"/>
      <c r="AO33" s="558"/>
      <c r="AP33" s="567"/>
      <c r="AQ33" s="567"/>
      <c r="AR33" s="565"/>
      <c r="AS33" s="565"/>
      <c r="AT33" s="565"/>
      <c r="AU33" s="565"/>
      <c r="AV33" s="336"/>
      <c r="AW33" s="336"/>
      <c r="AX33" s="339"/>
      <c r="AY33" s="339"/>
      <c r="AZ33" s="336"/>
      <c r="BA33" s="336"/>
      <c r="BB33" s="667"/>
      <c r="BC33" s="787"/>
      <c r="BD33" s="790"/>
      <c r="BE33" s="645"/>
      <c r="BF33" s="768"/>
      <c r="BG33" s="651"/>
    </row>
    <row r="34" spans="1:59" ht="114">
      <c r="A34" s="637"/>
      <c r="B34" s="640"/>
      <c r="C34" s="662"/>
      <c r="D34" s="586"/>
      <c r="E34" s="586"/>
      <c r="F34" s="586"/>
      <c r="G34" s="256" t="s">
        <v>203</v>
      </c>
      <c r="H34" s="255" t="s">
        <v>155</v>
      </c>
      <c r="I34" s="256" t="s">
        <v>204</v>
      </c>
      <c r="J34" s="586"/>
      <c r="K34" s="570"/>
      <c r="L34" s="587"/>
      <c r="M34" s="570"/>
      <c r="N34" s="570"/>
      <c r="O34" s="593"/>
      <c r="P34" s="265" t="s">
        <v>203</v>
      </c>
      <c r="Q34" s="595"/>
      <c r="R34" s="581"/>
      <c r="S34" s="583"/>
      <c r="T34" s="581"/>
      <c r="U34" s="583"/>
      <c r="V34" s="581"/>
      <c r="W34" s="583"/>
      <c r="X34" s="581"/>
      <c r="Y34" s="583"/>
      <c r="Z34" s="581"/>
      <c r="AA34" s="583"/>
      <c r="AB34" s="581"/>
      <c r="AC34" s="583"/>
      <c r="AD34" s="581"/>
      <c r="AE34" s="583"/>
      <c r="AF34" s="568"/>
      <c r="AG34" s="568"/>
      <c r="AH34" s="598"/>
      <c r="AI34" s="568"/>
      <c r="AJ34" s="568"/>
      <c r="AK34" s="568"/>
      <c r="AL34" s="560"/>
      <c r="AM34" s="560"/>
      <c r="AN34" s="560"/>
      <c r="AO34" s="560"/>
      <c r="AP34" s="568"/>
      <c r="AQ34" s="568"/>
      <c r="AR34" s="570"/>
      <c r="AS34" s="570"/>
      <c r="AT34" s="570"/>
      <c r="AU34" s="570"/>
      <c r="AV34" s="249"/>
      <c r="AW34" s="249"/>
      <c r="AX34" s="250"/>
      <c r="AY34" s="250"/>
      <c r="AZ34" s="249"/>
      <c r="BA34" s="249"/>
      <c r="BB34" s="724"/>
      <c r="BC34" s="788"/>
      <c r="BD34" s="791"/>
      <c r="BE34" s="646"/>
      <c r="BF34" s="769"/>
      <c r="BG34" s="652"/>
    </row>
    <row r="35" spans="1:59" ht="128.25">
      <c r="A35" s="663">
        <v>7</v>
      </c>
      <c r="B35" s="638" t="s">
        <v>205</v>
      </c>
      <c r="C35" s="641" t="s">
        <v>206</v>
      </c>
      <c r="D35" s="653" t="s">
        <v>207</v>
      </c>
      <c r="E35" s="653" t="s">
        <v>85</v>
      </c>
      <c r="F35" s="653" t="s">
        <v>65</v>
      </c>
      <c r="G35" s="92" t="s">
        <v>208</v>
      </c>
      <c r="H35" s="91" t="s">
        <v>67</v>
      </c>
      <c r="I35" s="92" t="s">
        <v>209</v>
      </c>
      <c r="J35" s="584" t="s">
        <v>69</v>
      </c>
      <c r="K35" s="569">
        <f>+VLOOKUP(J35,Listados!$K$8:$L$12,2,0)</f>
        <v>5</v>
      </c>
      <c r="L35" s="585" t="s">
        <v>89</v>
      </c>
      <c r="M35" s="569">
        <f>+VLOOKUP(L35,Listados!$K$13:$L$17,2,0)</f>
        <v>3</v>
      </c>
      <c r="N35" s="569" t="str">
        <f>IF(AND(J35&lt;&gt;"",L35&lt;&gt;""),VLOOKUP(J35&amp;L35,Listados!$M$3:$N$27,2,FALSE),"")</f>
        <v>Extremo</v>
      </c>
      <c r="O35" s="141" t="s">
        <v>210</v>
      </c>
      <c r="P35" s="105" t="s">
        <v>208</v>
      </c>
      <c r="Q35" s="130" t="s">
        <v>72</v>
      </c>
      <c r="R35" s="94" t="s">
        <v>73</v>
      </c>
      <c r="S35" s="93">
        <f t="shared" si="16"/>
        <v>15</v>
      </c>
      <c r="T35" s="94" t="s">
        <v>73</v>
      </c>
      <c r="U35" s="93">
        <f t="shared" si="17"/>
        <v>15</v>
      </c>
      <c r="V35" s="94" t="s">
        <v>73</v>
      </c>
      <c r="W35" s="93">
        <f t="shared" si="18"/>
        <v>15</v>
      </c>
      <c r="X35" s="94" t="s">
        <v>72</v>
      </c>
      <c r="Y35" s="93">
        <f t="shared" si="19"/>
        <v>15</v>
      </c>
      <c r="Z35" s="94" t="s">
        <v>73</v>
      </c>
      <c r="AA35" s="93">
        <f t="shared" si="20"/>
        <v>15</v>
      </c>
      <c r="AB35" s="94" t="s">
        <v>73</v>
      </c>
      <c r="AC35" s="93">
        <f t="shared" si="21"/>
        <v>15</v>
      </c>
      <c r="AD35" s="94" t="s">
        <v>74</v>
      </c>
      <c r="AE35" s="93">
        <f t="shared" si="22"/>
        <v>10</v>
      </c>
      <c r="AF35" s="96">
        <f t="shared" si="23"/>
        <v>100</v>
      </c>
      <c r="AG35" s="96" t="str">
        <f t="shared" si="24"/>
        <v>Fuerte</v>
      </c>
      <c r="AH35" s="107" t="s">
        <v>75</v>
      </c>
      <c r="AI35" s="96" t="str">
        <f t="shared" si="25"/>
        <v>Fuerte</v>
      </c>
      <c r="AJ35" s="96" t="str">
        <f>IFERROR(VLOOKUP((CONCATENATE(AG35,AI35)),Listados!$U$3:$V$11,2,FALSE),"")</f>
        <v>Fuerte</v>
      </c>
      <c r="AK35" s="96">
        <f t="shared" si="26"/>
        <v>100</v>
      </c>
      <c r="AL35" s="559">
        <f t="shared" ref="AL35" si="66">AVERAGE(AK35:AK38)</f>
        <v>100</v>
      </c>
      <c r="AM35" s="559" t="str">
        <f t="shared" ref="AM35" si="67">IF(AL35&lt;=50,"Débil",IF(AL35&lt;=99,"Moderado",IF(AL35=100,"fuerte","")))</f>
        <v>fuerte</v>
      </c>
      <c r="AN35" s="559">
        <f t="shared" ref="AN35" si="68">+IF(AND(Q35="Preventivo",AM35="Fuerte"),2,IF(AND(Q35="Preventivo",AM35="Moderado"),1,0))</f>
        <v>2</v>
      </c>
      <c r="AO35" s="559">
        <f t="shared" ref="AO35" si="69">+IF(AND(Q35="Detectivo",$AM35="Fuerte"),2,IF(AND(Q35="Detectivo",$AM35="Moderado"),1,IF(AND(Q35="Preventivo",$AM35="Fuerte"),1,0)))</f>
        <v>1</v>
      </c>
      <c r="AP35" s="566">
        <f t="shared" ref="AP35" si="70">+K35-AN35</f>
        <v>3</v>
      </c>
      <c r="AQ35" s="566">
        <f t="shared" ref="AQ35" si="71">+M35-AO35</f>
        <v>2</v>
      </c>
      <c r="AR35" s="569" t="str">
        <f>+VLOOKUP(MIN(AP35),Listados!$J$18:$K$24,2,TRUE)</f>
        <v>Posible</v>
      </c>
      <c r="AS35" s="569" t="str">
        <f>+VLOOKUP(MIN(AQ35),Listados!$J$26:$K$32,2,TRUE)</f>
        <v>Menor</v>
      </c>
      <c r="AT35" s="569" t="str">
        <f>IF(AND(AR35&lt;&gt;"",AS35&lt;&gt;""),VLOOKUP(AR35&amp;AS35,Listados!$M$3:$N$27,2,FALSE),"")</f>
        <v>Moderado</v>
      </c>
      <c r="AU35" s="569" t="str">
        <f>+VLOOKUP(AT35,Listados!$P$3:$Q$6,2,FALSE)</f>
        <v>Asumir el riesgo</v>
      </c>
      <c r="AV35" s="97"/>
      <c r="AW35" s="97"/>
      <c r="AX35" s="98"/>
      <c r="AY35" s="99"/>
      <c r="AZ35" s="97"/>
      <c r="BA35" s="97"/>
      <c r="BB35" s="802" t="s">
        <v>211</v>
      </c>
      <c r="BC35" s="786" t="s">
        <v>212</v>
      </c>
      <c r="BD35" s="789"/>
      <c r="BE35" s="644" t="s">
        <v>213</v>
      </c>
      <c r="BF35" s="647" t="s">
        <v>1605</v>
      </c>
      <c r="BG35" s="650"/>
    </row>
    <row r="36" spans="1:59" ht="128.25">
      <c r="A36" s="664"/>
      <c r="B36" s="639"/>
      <c r="C36" s="642"/>
      <c r="D36" s="654"/>
      <c r="E36" s="654"/>
      <c r="F36" s="654"/>
      <c r="G36" s="329" t="s">
        <v>214</v>
      </c>
      <c r="H36" s="328" t="s">
        <v>155</v>
      </c>
      <c r="I36" s="329" t="s">
        <v>215</v>
      </c>
      <c r="J36" s="572"/>
      <c r="K36" s="565"/>
      <c r="L36" s="573"/>
      <c r="M36" s="565"/>
      <c r="N36" s="565"/>
      <c r="O36" s="329" t="s">
        <v>216</v>
      </c>
      <c r="P36" s="73" t="s">
        <v>214</v>
      </c>
      <c r="Q36" s="350" t="s">
        <v>72</v>
      </c>
      <c r="R36" s="332" t="s">
        <v>73</v>
      </c>
      <c r="S36" s="333">
        <f t="shared" si="16"/>
        <v>15</v>
      </c>
      <c r="T36" s="332" t="s">
        <v>73</v>
      </c>
      <c r="U36" s="333">
        <f t="shared" si="17"/>
        <v>15</v>
      </c>
      <c r="V36" s="332" t="s">
        <v>73</v>
      </c>
      <c r="W36" s="333">
        <f t="shared" si="18"/>
        <v>15</v>
      </c>
      <c r="X36" s="332" t="s">
        <v>72</v>
      </c>
      <c r="Y36" s="333">
        <f t="shared" si="19"/>
        <v>15</v>
      </c>
      <c r="Z36" s="332" t="s">
        <v>73</v>
      </c>
      <c r="AA36" s="333">
        <f t="shared" si="20"/>
        <v>15</v>
      </c>
      <c r="AB36" s="332" t="s">
        <v>73</v>
      </c>
      <c r="AC36" s="333">
        <f t="shared" si="21"/>
        <v>15</v>
      </c>
      <c r="AD36" s="332" t="s">
        <v>74</v>
      </c>
      <c r="AE36" s="333">
        <f t="shared" si="22"/>
        <v>10</v>
      </c>
      <c r="AF36" s="334">
        <f t="shared" si="23"/>
        <v>100</v>
      </c>
      <c r="AG36" s="334" t="str">
        <f t="shared" si="24"/>
        <v>Fuerte</v>
      </c>
      <c r="AH36" s="335" t="s">
        <v>75</v>
      </c>
      <c r="AI36" s="334" t="str">
        <f t="shared" si="25"/>
        <v>Fuerte</v>
      </c>
      <c r="AJ36" s="334" t="str">
        <f>IFERROR(VLOOKUP((CONCATENATE(AG36,AI36)),Listados!$U$3:$V$11,2,FALSE),"")</f>
        <v>Fuerte</v>
      </c>
      <c r="AK36" s="334">
        <f t="shared" si="26"/>
        <v>100</v>
      </c>
      <c r="AL36" s="558"/>
      <c r="AM36" s="558"/>
      <c r="AN36" s="558"/>
      <c r="AO36" s="558"/>
      <c r="AP36" s="567"/>
      <c r="AQ36" s="567"/>
      <c r="AR36" s="565"/>
      <c r="AS36" s="565"/>
      <c r="AT36" s="565"/>
      <c r="AU36" s="565"/>
      <c r="AV36" s="336"/>
      <c r="AW36" s="336"/>
      <c r="AX36" s="336"/>
      <c r="AY36" s="336"/>
      <c r="AZ36" s="336"/>
      <c r="BA36" s="336"/>
      <c r="BB36" s="803"/>
      <c r="BC36" s="787"/>
      <c r="BD36" s="790"/>
      <c r="BE36" s="645"/>
      <c r="BF36" s="648"/>
      <c r="BG36" s="651"/>
    </row>
    <row r="37" spans="1:59" ht="118.5" customHeight="1">
      <c r="A37" s="664"/>
      <c r="B37" s="639"/>
      <c r="C37" s="642"/>
      <c r="D37" s="654"/>
      <c r="E37" s="654"/>
      <c r="F37" s="654"/>
      <c r="G37" s="329" t="s">
        <v>217</v>
      </c>
      <c r="H37" s="328" t="s">
        <v>67</v>
      </c>
      <c r="I37" s="329" t="s">
        <v>218</v>
      </c>
      <c r="J37" s="572"/>
      <c r="K37" s="565"/>
      <c r="L37" s="573"/>
      <c r="M37" s="565"/>
      <c r="N37" s="565"/>
      <c r="O37" s="345" t="s">
        <v>219</v>
      </c>
      <c r="P37" s="73" t="s">
        <v>217</v>
      </c>
      <c r="Q37" s="348" t="s">
        <v>72</v>
      </c>
      <c r="R37" s="332" t="s">
        <v>73</v>
      </c>
      <c r="S37" s="333">
        <f t="shared" si="16"/>
        <v>15</v>
      </c>
      <c r="T37" s="332" t="s">
        <v>73</v>
      </c>
      <c r="U37" s="333">
        <f t="shared" si="17"/>
        <v>15</v>
      </c>
      <c r="V37" s="332" t="s">
        <v>73</v>
      </c>
      <c r="W37" s="333">
        <f t="shared" si="18"/>
        <v>15</v>
      </c>
      <c r="X37" s="332" t="s">
        <v>72</v>
      </c>
      <c r="Y37" s="333">
        <f t="shared" si="19"/>
        <v>15</v>
      </c>
      <c r="Z37" s="332" t="s">
        <v>73</v>
      </c>
      <c r="AA37" s="333">
        <f t="shared" si="20"/>
        <v>15</v>
      </c>
      <c r="AB37" s="332" t="s">
        <v>73</v>
      </c>
      <c r="AC37" s="333">
        <f t="shared" si="21"/>
        <v>15</v>
      </c>
      <c r="AD37" s="332" t="s">
        <v>74</v>
      </c>
      <c r="AE37" s="333">
        <f t="shared" si="22"/>
        <v>10</v>
      </c>
      <c r="AF37" s="334">
        <f t="shared" si="23"/>
        <v>100</v>
      </c>
      <c r="AG37" s="334" t="str">
        <f t="shared" si="24"/>
        <v>Fuerte</v>
      </c>
      <c r="AH37" s="335" t="s">
        <v>75</v>
      </c>
      <c r="AI37" s="334" t="str">
        <f t="shared" si="25"/>
        <v>Fuerte</v>
      </c>
      <c r="AJ37" s="334" t="str">
        <f>IFERROR(VLOOKUP((CONCATENATE(AG37,AI37)),Listados!$U$3:$V$11,2,FALSE),"")</f>
        <v>Fuerte</v>
      </c>
      <c r="AK37" s="334">
        <f t="shared" si="26"/>
        <v>100</v>
      </c>
      <c r="AL37" s="558"/>
      <c r="AM37" s="558"/>
      <c r="AN37" s="558"/>
      <c r="AO37" s="558"/>
      <c r="AP37" s="567"/>
      <c r="AQ37" s="567"/>
      <c r="AR37" s="565"/>
      <c r="AS37" s="565"/>
      <c r="AT37" s="565"/>
      <c r="AU37" s="565"/>
      <c r="AV37" s="336"/>
      <c r="AW37" s="336"/>
      <c r="AX37" s="339"/>
      <c r="AY37" s="339"/>
      <c r="AZ37" s="336"/>
      <c r="BA37" s="336"/>
      <c r="BB37" s="803"/>
      <c r="BC37" s="787"/>
      <c r="BD37" s="790"/>
      <c r="BE37" s="645"/>
      <c r="BF37" s="648"/>
      <c r="BG37" s="651"/>
    </row>
    <row r="38" spans="1:59">
      <c r="A38" s="665"/>
      <c r="B38" s="640"/>
      <c r="C38" s="643"/>
      <c r="D38" s="655"/>
      <c r="E38" s="655"/>
      <c r="F38" s="655"/>
      <c r="G38" s="256"/>
      <c r="H38" s="257"/>
      <c r="I38" s="257"/>
      <c r="J38" s="586"/>
      <c r="K38" s="570"/>
      <c r="L38" s="587"/>
      <c r="M38" s="570"/>
      <c r="N38" s="570"/>
      <c r="O38" s="258"/>
      <c r="P38" s="146"/>
      <c r="Q38" s="269"/>
      <c r="R38" s="260"/>
      <c r="S38" s="261" t="str">
        <f t="shared" si="16"/>
        <v>0</v>
      </c>
      <c r="T38" s="260"/>
      <c r="U38" s="261" t="str">
        <f t="shared" si="17"/>
        <v>0</v>
      </c>
      <c r="V38" s="260"/>
      <c r="W38" s="261" t="str">
        <f t="shared" si="18"/>
        <v>0</v>
      </c>
      <c r="X38" s="260"/>
      <c r="Y38" s="261" t="str">
        <f t="shared" si="19"/>
        <v>0</v>
      </c>
      <c r="Z38" s="260"/>
      <c r="AA38" s="261" t="str">
        <f t="shared" si="20"/>
        <v>0</v>
      </c>
      <c r="AB38" s="260"/>
      <c r="AC38" s="261" t="str">
        <f t="shared" si="21"/>
        <v>0</v>
      </c>
      <c r="AD38" s="260"/>
      <c r="AE38" s="261" t="str">
        <f t="shared" si="22"/>
        <v>0</v>
      </c>
      <c r="AF38" s="262" t="str">
        <f t="shared" si="23"/>
        <v/>
      </c>
      <c r="AG38" s="262" t="str">
        <f t="shared" si="24"/>
        <v/>
      </c>
      <c r="AH38" s="263"/>
      <c r="AI38" s="262" t="str">
        <f t="shared" si="25"/>
        <v/>
      </c>
      <c r="AJ38" s="262" t="str">
        <f>IFERROR(VLOOKUP((CONCATENATE(AG38,AI38)),Listados!$U$3:$V$11,2,FALSE),"")</f>
        <v/>
      </c>
      <c r="AK38" s="262" t="str">
        <f t="shared" si="26"/>
        <v/>
      </c>
      <c r="AL38" s="560"/>
      <c r="AM38" s="560"/>
      <c r="AN38" s="560"/>
      <c r="AO38" s="560"/>
      <c r="AP38" s="568"/>
      <c r="AQ38" s="568"/>
      <c r="AR38" s="570"/>
      <c r="AS38" s="570"/>
      <c r="AT38" s="570"/>
      <c r="AU38" s="570"/>
      <c r="AV38" s="231"/>
      <c r="AW38" s="249"/>
      <c r="AX38" s="250"/>
      <c r="AY38" s="250"/>
      <c r="AZ38" s="249"/>
      <c r="BA38" s="249"/>
      <c r="BB38" s="804"/>
      <c r="BC38" s="788"/>
      <c r="BD38" s="791"/>
      <c r="BE38" s="646"/>
      <c r="BF38" s="649"/>
      <c r="BG38" s="652"/>
    </row>
    <row r="39" spans="1:59" ht="136.5" customHeight="1">
      <c r="A39" s="635">
        <v>8</v>
      </c>
      <c r="B39" s="638" t="s">
        <v>205</v>
      </c>
      <c r="C39" s="641" t="s">
        <v>206</v>
      </c>
      <c r="D39" s="653" t="s">
        <v>220</v>
      </c>
      <c r="E39" s="653" t="s">
        <v>221</v>
      </c>
      <c r="F39" s="653" t="s">
        <v>65</v>
      </c>
      <c r="G39" s="92" t="s">
        <v>222</v>
      </c>
      <c r="H39" s="91" t="s">
        <v>67</v>
      </c>
      <c r="I39" s="141" t="s">
        <v>223</v>
      </c>
      <c r="J39" s="584" t="s">
        <v>106</v>
      </c>
      <c r="K39" s="569">
        <f>+VLOOKUP(J39,Listados!$K$8:$L$12,2,0)</f>
        <v>4</v>
      </c>
      <c r="L39" s="585" t="s">
        <v>89</v>
      </c>
      <c r="M39" s="569">
        <f>+VLOOKUP(L39,Listados!$K$13:$L$17,2,0)</f>
        <v>3</v>
      </c>
      <c r="N39" s="569" t="str">
        <f>IF(AND(J39&lt;&gt;"",L39&lt;&gt;""),VLOOKUP(J39&amp;L39,Listados!$M$3:$N$27,2,FALSE),"")</f>
        <v>Alto</v>
      </c>
      <c r="O39" s="92" t="s">
        <v>224</v>
      </c>
      <c r="P39" s="95" t="s">
        <v>222</v>
      </c>
      <c r="Q39" s="148" t="s">
        <v>72</v>
      </c>
      <c r="R39" s="94" t="s">
        <v>73</v>
      </c>
      <c r="S39" s="93">
        <f t="shared" si="16"/>
        <v>15</v>
      </c>
      <c r="T39" s="94" t="s">
        <v>73</v>
      </c>
      <c r="U39" s="93">
        <f t="shared" si="17"/>
        <v>15</v>
      </c>
      <c r="V39" s="94" t="s">
        <v>73</v>
      </c>
      <c r="W39" s="93">
        <f t="shared" si="18"/>
        <v>15</v>
      </c>
      <c r="X39" s="94" t="s">
        <v>72</v>
      </c>
      <c r="Y39" s="93">
        <f t="shared" si="19"/>
        <v>15</v>
      </c>
      <c r="Z39" s="94" t="s">
        <v>73</v>
      </c>
      <c r="AA39" s="93">
        <f t="shared" si="20"/>
        <v>15</v>
      </c>
      <c r="AB39" s="94" t="s">
        <v>73</v>
      </c>
      <c r="AC39" s="93">
        <f t="shared" si="21"/>
        <v>15</v>
      </c>
      <c r="AD39" s="94" t="s">
        <v>74</v>
      </c>
      <c r="AE39" s="93">
        <f t="shared" si="22"/>
        <v>10</v>
      </c>
      <c r="AF39" s="96">
        <f t="shared" si="23"/>
        <v>100</v>
      </c>
      <c r="AG39" s="96" t="str">
        <f t="shared" si="24"/>
        <v>Fuerte</v>
      </c>
      <c r="AH39" s="107" t="s">
        <v>75</v>
      </c>
      <c r="AI39" s="96" t="str">
        <f t="shared" si="25"/>
        <v>Fuerte</v>
      </c>
      <c r="AJ39" s="96" t="str">
        <f>IFERROR(VLOOKUP((CONCATENATE(AG39,AI39)),Listados!$U$3:$V$11,2,FALSE),"")</f>
        <v>Fuerte</v>
      </c>
      <c r="AK39" s="96">
        <f t="shared" si="26"/>
        <v>100</v>
      </c>
      <c r="AL39" s="559">
        <f t="shared" ref="AL39" si="72">AVERAGE(AK39:AK42)</f>
        <v>100</v>
      </c>
      <c r="AM39" s="559" t="str">
        <f t="shared" ref="AM39" si="73">IF(AL39&lt;=50,"Débil",IF(AL39&lt;=99,"Moderado",IF(AL39=100,"fuerte","")))</f>
        <v>fuerte</v>
      </c>
      <c r="AN39" s="559">
        <f t="shared" ref="AN39" si="74">+IF(AND(Q39="Preventivo",AM39="Fuerte"),2,IF(AND(Q39="Preventivo",AM39="Moderado"),1,0))</f>
        <v>2</v>
      </c>
      <c r="AO39" s="559">
        <f t="shared" ref="AO39" si="75">+IF(AND(Q39="Detectivo",$AM39="Fuerte"),2,IF(AND(Q39="Detectivo",$AM39="Moderado"),1,IF(AND(Q39="Preventivo",$AM39="Fuerte"),1,0)))</f>
        <v>1</v>
      </c>
      <c r="AP39" s="566">
        <f t="shared" ref="AP39" si="76">+K39-AN39</f>
        <v>2</v>
      </c>
      <c r="AQ39" s="566">
        <f t="shared" ref="AQ39" si="77">+M39-AO39</f>
        <v>2</v>
      </c>
      <c r="AR39" s="569" t="str">
        <f>+VLOOKUP(MIN(AP39),Listados!$J$18:$K$24,2,TRUE)</f>
        <v>Improbable</v>
      </c>
      <c r="AS39" s="569" t="str">
        <f>+VLOOKUP(MIN(AQ39),Listados!$J$26:$K$32,2,TRUE)</f>
        <v>Menor</v>
      </c>
      <c r="AT39" s="569" t="str">
        <f>IF(AND(AR39&lt;&gt;"",AS39&lt;&gt;""),VLOOKUP(AR39&amp;AS39,Listados!$M$3:$N$27,2,FALSE),"")</f>
        <v>Bajo</v>
      </c>
      <c r="AU39" s="852" t="str">
        <f>+VLOOKUP(AT39,Listados!$P$3:$Q$6,2,FALSE)</f>
        <v>Asumir el riesgo</v>
      </c>
      <c r="AV39" s="500"/>
      <c r="AW39" s="502"/>
      <c r="AX39" s="98"/>
      <c r="AY39" s="99"/>
      <c r="AZ39" s="97"/>
      <c r="BA39" s="97"/>
      <c r="BB39" s="802" t="s">
        <v>225</v>
      </c>
      <c r="BC39" s="786" t="s">
        <v>226</v>
      </c>
      <c r="BD39" s="789"/>
      <c r="BE39" s="644" t="s">
        <v>227</v>
      </c>
      <c r="BF39" s="647" t="s">
        <v>1606</v>
      </c>
      <c r="BG39" s="650"/>
    </row>
    <row r="40" spans="1:59" ht="128.25">
      <c r="A40" s="636"/>
      <c r="B40" s="639"/>
      <c r="C40" s="642"/>
      <c r="D40" s="654"/>
      <c r="E40" s="654"/>
      <c r="F40" s="654"/>
      <c r="G40" s="329" t="s">
        <v>228</v>
      </c>
      <c r="H40" s="328" t="s">
        <v>67</v>
      </c>
      <c r="I40" s="342" t="s">
        <v>229</v>
      </c>
      <c r="J40" s="572"/>
      <c r="K40" s="565"/>
      <c r="L40" s="573"/>
      <c r="M40" s="565"/>
      <c r="N40" s="565"/>
      <c r="O40" s="329" t="s">
        <v>230</v>
      </c>
      <c r="P40" s="340" t="s">
        <v>228</v>
      </c>
      <c r="Q40" s="351" t="s">
        <v>72</v>
      </c>
      <c r="R40" s="332" t="s">
        <v>73</v>
      </c>
      <c r="S40" s="333">
        <f t="shared" si="16"/>
        <v>15</v>
      </c>
      <c r="T40" s="332" t="s">
        <v>73</v>
      </c>
      <c r="U40" s="333">
        <f t="shared" si="17"/>
        <v>15</v>
      </c>
      <c r="V40" s="332" t="s">
        <v>73</v>
      </c>
      <c r="W40" s="333">
        <f t="shared" si="18"/>
        <v>15</v>
      </c>
      <c r="X40" s="332" t="s">
        <v>72</v>
      </c>
      <c r="Y40" s="333">
        <f t="shared" si="19"/>
        <v>15</v>
      </c>
      <c r="Z40" s="332" t="s">
        <v>73</v>
      </c>
      <c r="AA40" s="333">
        <f t="shared" si="20"/>
        <v>15</v>
      </c>
      <c r="AB40" s="332" t="s">
        <v>73</v>
      </c>
      <c r="AC40" s="333">
        <f t="shared" si="21"/>
        <v>15</v>
      </c>
      <c r="AD40" s="332" t="s">
        <v>74</v>
      </c>
      <c r="AE40" s="333">
        <f t="shared" si="22"/>
        <v>10</v>
      </c>
      <c r="AF40" s="334">
        <f t="shared" si="23"/>
        <v>100</v>
      </c>
      <c r="AG40" s="334" t="str">
        <f t="shared" si="24"/>
        <v>Fuerte</v>
      </c>
      <c r="AH40" s="335" t="s">
        <v>75</v>
      </c>
      <c r="AI40" s="334" t="str">
        <f t="shared" si="25"/>
        <v>Fuerte</v>
      </c>
      <c r="AJ40" s="334" t="str">
        <f>IFERROR(VLOOKUP((CONCATENATE(AG40,AI40)),Listados!$U$3:$V$11,2,FALSE),"")</f>
        <v>Fuerte</v>
      </c>
      <c r="AK40" s="334">
        <f t="shared" si="26"/>
        <v>100</v>
      </c>
      <c r="AL40" s="558"/>
      <c r="AM40" s="558"/>
      <c r="AN40" s="558"/>
      <c r="AO40" s="558"/>
      <c r="AP40" s="567"/>
      <c r="AQ40" s="567"/>
      <c r="AR40" s="565"/>
      <c r="AS40" s="565"/>
      <c r="AT40" s="565"/>
      <c r="AU40" s="853"/>
      <c r="AV40" s="500"/>
      <c r="AW40" s="503"/>
      <c r="AX40" s="336"/>
      <c r="AY40" s="336"/>
      <c r="AZ40" s="336"/>
      <c r="BA40" s="336"/>
      <c r="BB40" s="803"/>
      <c r="BC40" s="787"/>
      <c r="BD40" s="790"/>
      <c r="BE40" s="645"/>
      <c r="BF40" s="648"/>
      <c r="BG40" s="651"/>
    </row>
    <row r="41" spans="1:59" ht="128.25">
      <c r="A41" s="636"/>
      <c r="B41" s="639"/>
      <c r="C41" s="642"/>
      <c r="D41" s="654"/>
      <c r="E41" s="654"/>
      <c r="F41" s="654"/>
      <c r="G41" s="329" t="s">
        <v>231</v>
      </c>
      <c r="H41" s="328" t="s">
        <v>67</v>
      </c>
      <c r="I41" s="342" t="s">
        <v>232</v>
      </c>
      <c r="J41" s="572"/>
      <c r="K41" s="565"/>
      <c r="L41" s="573"/>
      <c r="M41" s="565"/>
      <c r="N41" s="565"/>
      <c r="O41" s="340" t="s">
        <v>233</v>
      </c>
      <c r="P41" s="340" t="s">
        <v>231</v>
      </c>
      <c r="Q41" s="352" t="s">
        <v>72</v>
      </c>
      <c r="R41" s="332" t="s">
        <v>73</v>
      </c>
      <c r="S41" s="333">
        <f t="shared" si="16"/>
        <v>15</v>
      </c>
      <c r="T41" s="332" t="s">
        <v>73</v>
      </c>
      <c r="U41" s="333">
        <f t="shared" si="17"/>
        <v>15</v>
      </c>
      <c r="V41" s="332" t="s">
        <v>73</v>
      </c>
      <c r="W41" s="333">
        <f t="shared" si="18"/>
        <v>15</v>
      </c>
      <c r="X41" s="332" t="s">
        <v>72</v>
      </c>
      <c r="Y41" s="333">
        <f t="shared" si="19"/>
        <v>15</v>
      </c>
      <c r="Z41" s="332" t="s">
        <v>73</v>
      </c>
      <c r="AA41" s="333">
        <f t="shared" si="20"/>
        <v>15</v>
      </c>
      <c r="AB41" s="332" t="s">
        <v>73</v>
      </c>
      <c r="AC41" s="333">
        <f t="shared" si="21"/>
        <v>15</v>
      </c>
      <c r="AD41" s="332" t="s">
        <v>74</v>
      </c>
      <c r="AE41" s="333">
        <f t="shared" si="22"/>
        <v>10</v>
      </c>
      <c r="AF41" s="334">
        <f t="shared" si="23"/>
        <v>100</v>
      </c>
      <c r="AG41" s="334" t="str">
        <f t="shared" si="24"/>
        <v>Fuerte</v>
      </c>
      <c r="AH41" s="335" t="s">
        <v>75</v>
      </c>
      <c r="AI41" s="334" t="str">
        <f t="shared" si="25"/>
        <v>Fuerte</v>
      </c>
      <c r="AJ41" s="334" t="str">
        <f>IFERROR(VLOOKUP((CONCATENATE(AG41,AI41)),Listados!$U$3:$V$11,2,FALSE),"")</f>
        <v>Fuerte</v>
      </c>
      <c r="AK41" s="334">
        <f t="shared" si="26"/>
        <v>100</v>
      </c>
      <c r="AL41" s="558"/>
      <c r="AM41" s="558"/>
      <c r="AN41" s="558"/>
      <c r="AO41" s="558"/>
      <c r="AP41" s="567"/>
      <c r="AQ41" s="567"/>
      <c r="AR41" s="565"/>
      <c r="AS41" s="565"/>
      <c r="AT41" s="565"/>
      <c r="AU41" s="853"/>
      <c r="AV41" s="500"/>
      <c r="AW41" s="503"/>
      <c r="AX41" s="339"/>
      <c r="AY41" s="339"/>
      <c r="AZ41" s="336"/>
      <c r="BA41" s="336"/>
      <c r="BB41" s="803"/>
      <c r="BC41" s="787"/>
      <c r="BD41" s="790"/>
      <c r="BE41" s="645"/>
      <c r="BF41" s="648"/>
      <c r="BG41" s="651"/>
    </row>
    <row r="42" spans="1:59" ht="15" customHeight="1">
      <c r="A42" s="637"/>
      <c r="B42" s="640"/>
      <c r="C42" s="643"/>
      <c r="D42" s="655"/>
      <c r="E42" s="655"/>
      <c r="F42" s="655"/>
      <c r="G42" s="256"/>
      <c r="H42" s="256"/>
      <c r="I42" s="256"/>
      <c r="J42" s="586"/>
      <c r="K42" s="570"/>
      <c r="L42" s="587"/>
      <c r="M42" s="570"/>
      <c r="N42" s="570"/>
      <c r="O42" s="258"/>
      <c r="P42" s="259"/>
      <c r="Q42" s="269"/>
      <c r="R42" s="260"/>
      <c r="S42" s="261" t="str">
        <f t="shared" si="16"/>
        <v>0</v>
      </c>
      <c r="T42" s="260"/>
      <c r="U42" s="261" t="str">
        <f t="shared" si="17"/>
        <v>0</v>
      </c>
      <c r="V42" s="260"/>
      <c r="W42" s="261" t="str">
        <f t="shared" si="18"/>
        <v>0</v>
      </c>
      <c r="X42" s="260"/>
      <c r="Y42" s="261" t="str">
        <f t="shared" si="19"/>
        <v>0</v>
      </c>
      <c r="Z42" s="260"/>
      <c r="AA42" s="261" t="str">
        <f t="shared" si="20"/>
        <v>0</v>
      </c>
      <c r="AB42" s="260"/>
      <c r="AC42" s="261" t="str">
        <f t="shared" si="21"/>
        <v>0</v>
      </c>
      <c r="AD42" s="260"/>
      <c r="AE42" s="261" t="str">
        <f t="shared" si="22"/>
        <v>0</v>
      </c>
      <c r="AF42" s="262" t="str">
        <f t="shared" si="23"/>
        <v/>
      </c>
      <c r="AG42" s="262" t="str">
        <f t="shared" si="24"/>
        <v/>
      </c>
      <c r="AH42" s="263"/>
      <c r="AI42" s="262" t="str">
        <f t="shared" si="25"/>
        <v/>
      </c>
      <c r="AJ42" s="262" t="str">
        <f>IFERROR(VLOOKUP((CONCATENATE(AG42,AI42)),Listados!$U$3:$V$11,2,FALSE),"")</f>
        <v/>
      </c>
      <c r="AK42" s="262" t="str">
        <f t="shared" si="26"/>
        <v/>
      </c>
      <c r="AL42" s="560"/>
      <c r="AM42" s="560"/>
      <c r="AN42" s="560"/>
      <c r="AO42" s="560"/>
      <c r="AP42" s="568"/>
      <c r="AQ42" s="568"/>
      <c r="AR42" s="570"/>
      <c r="AS42" s="570"/>
      <c r="AT42" s="570"/>
      <c r="AU42" s="854"/>
      <c r="AV42" s="500"/>
      <c r="AW42" s="504"/>
      <c r="AX42" s="250"/>
      <c r="AY42" s="250"/>
      <c r="AZ42" s="249"/>
      <c r="BA42" s="249"/>
      <c r="BB42" s="804"/>
      <c r="BC42" s="788"/>
      <c r="BD42" s="791"/>
      <c r="BE42" s="646"/>
      <c r="BF42" s="649"/>
      <c r="BG42" s="652"/>
    </row>
    <row r="43" spans="1:59" ht="114">
      <c r="A43" s="635">
        <v>9</v>
      </c>
      <c r="B43" s="638" t="s">
        <v>234</v>
      </c>
      <c r="C43" s="666" t="s">
        <v>235</v>
      </c>
      <c r="D43" s="669" t="s">
        <v>236</v>
      </c>
      <c r="E43" s="624" t="s">
        <v>153</v>
      </c>
      <c r="F43" s="653" t="s">
        <v>65</v>
      </c>
      <c r="G43" s="92" t="s">
        <v>237</v>
      </c>
      <c r="H43" s="91" t="s">
        <v>67</v>
      </c>
      <c r="I43" s="128" t="s">
        <v>238</v>
      </c>
      <c r="J43" s="584" t="s">
        <v>88</v>
      </c>
      <c r="K43" s="569">
        <f>+VLOOKUP(J43,Listados!$K$8:$L$12,2,0)</f>
        <v>3</v>
      </c>
      <c r="L43" s="585" t="s">
        <v>70</v>
      </c>
      <c r="M43" s="569">
        <f>+VLOOKUP(L43,Listados!$K$13:$L$17,2,0)</f>
        <v>2</v>
      </c>
      <c r="N43" s="569" t="str">
        <f>IF(AND(J43&lt;&gt;"",L43&lt;&gt;""),VLOOKUP(J43&amp;L43,Listados!$M$3:$N$27,2,FALSE),"")</f>
        <v>Moderado</v>
      </c>
      <c r="O43" s="92" t="s">
        <v>239</v>
      </c>
      <c r="P43" s="105" t="s">
        <v>237</v>
      </c>
      <c r="Q43" s="130" t="s">
        <v>72</v>
      </c>
      <c r="R43" s="94" t="s">
        <v>73</v>
      </c>
      <c r="S43" s="93">
        <f t="shared" si="16"/>
        <v>15</v>
      </c>
      <c r="T43" s="94" t="s">
        <v>73</v>
      </c>
      <c r="U43" s="93">
        <f t="shared" si="17"/>
        <v>15</v>
      </c>
      <c r="V43" s="94" t="s">
        <v>73</v>
      </c>
      <c r="W43" s="93">
        <f t="shared" si="18"/>
        <v>15</v>
      </c>
      <c r="X43" s="94" t="s">
        <v>72</v>
      </c>
      <c r="Y43" s="93">
        <f t="shared" si="19"/>
        <v>15</v>
      </c>
      <c r="Z43" s="94" t="s">
        <v>73</v>
      </c>
      <c r="AA43" s="93">
        <f t="shared" si="20"/>
        <v>15</v>
      </c>
      <c r="AB43" s="94" t="s">
        <v>73</v>
      </c>
      <c r="AC43" s="93">
        <f t="shared" si="21"/>
        <v>15</v>
      </c>
      <c r="AD43" s="94" t="s">
        <v>74</v>
      </c>
      <c r="AE43" s="93">
        <f t="shared" si="22"/>
        <v>10</v>
      </c>
      <c r="AF43" s="96">
        <f t="shared" si="23"/>
        <v>100</v>
      </c>
      <c r="AG43" s="96" t="str">
        <f t="shared" si="24"/>
        <v>Fuerte</v>
      </c>
      <c r="AH43" s="107" t="s">
        <v>75</v>
      </c>
      <c r="AI43" s="96" t="str">
        <f t="shared" si="25"/>
        <v>Fuerte</v>
      </c>
      <c r="AJ43" s="96" t="str">
        <f>IFERROR(VLOOKUP((CONCATENATE(AG43,AI43)),Listados!$U$3:$V$11,2,FALSE),"")</f>
        <v>Fuerte</v>
      </c>
      <c r="AK43" s="96">
        <f t="shared" si="26"/>
        <v>100</v>
      </c>
      <c r="AL43" s="559">
        <f t="shared" ref="AL43" si="78">AVERAGE(AK43:AK46)</f>
        <v>100</v>
      </c>
      <c r="AM43" s="559" t="str">
        <f t="shared" ref="AM43" si="79">IF(AL43&lt;=50,"Débil",IF(AL43&lt;=99,"Moderado",IF(AL43=100,"fuerte","")))</f>
        <v>fuerte</v>
      </c>
      <c r="AN43" s="559">
        <f t="shared" ref="AN43" si="80">+IF(AND(Q43="Preventivo",AM43="Fuerte"),2,IF(AND(Q43="Preventivo",AM43="Moderado"),1,0))</f>
        <v>2</v>
      </c>
      <c r="AO43" s="559">
        <f t="shared" ref="AO43" si="81">+IF(AND(Q43="Detectivo",$AM43="Fuerte"),2,IF(AND(Q43="Detectivo",$AM43="Moderado"),1,IF(AND(Q43="Preventivo",$AM43="Fuerte"),1,0)))</f>
        <v>1</v>
      </c>
      <c r="AP43" s="566">
        <f t="shared" ref="AP43" si="82">+K43-AN43</f>
        <v>1</v>
      </c>
      <c r="AQ43" s="566">
        <f t="shared" ref="AQ43" si="83">+M43-AO43</f>
        <v>1</v>
      </c>
      <c r="AR43" s="569" t="str">
        <f>+VLOOKUP(MIN(AP43),Listados!$J$18:$K$24,2,TRUE)</f>
        <v>Rara Vez</v>
      </c>
      <c r="AS43" s="569" t="str">
        <f>+VLOOKUP(MIN(AQ43),Listados!$J$26:$K$32,2,TRUE)</f>
        <v>Insignificante</v>
      </c>
      <c r="AT43" s="569" t="str">
        <f>IF(AND(AR43&lt;&gt;"",AS43&lt;&gt;""),VLOOKUP(AR43&amp;AS43,Listados!$M$3:$N$27,2,FALSE),"")</f>
        <v>Bajo</v>
      </c>
      <c r="AU43" s="852" t="str">
        <f>+VLOOKUP(AT43,Listados!$P$3:$Q$6,2,FALSE)</f>
        <v>Asumir el riesgo</v>
      </c>
      <c r="AV43" s="501"/>
      <c r="AW43" s="502"/>
      <c r="AX43" s="98"/>
      <c r="AY43" s="99"/>
      <c r="AZ43" s="97"/>
      <c r="BA43" s="97"/>
      <c r="BB43" s="786" t="s">
        <v>240</v>
      </c>
      <c r="BC43" s="786" t="s">
        <v>241</v>
      </c>
      <c r="BD43" s="789"/>
      <c r="BE43" s="644" t="s">
        <v>242</v>
      </c>
      <c r="BF43" s="647" t="s">
        <v>1607</v>
      </c>
      <c r="BG43" s="650"/>
    </row>
    <row r="44" spans="1:59" ht="105.75" customHeight="1">
      <c r="A44" s="636"/>
      <c r="B44" s="639"/>
      <c r="C44" s="667"/>
      <c r="D44" s="592"/>
      <c r="E44" s="579"/>
      <c r="F44" s="654"/>
      <c r="G44" s="329" t="s">
        <v>243</v>
      </c>
      <c r="H44" s="328" t="s">
        <v>67</v>
      </c>
      <c r="I44" s="337" t="s">
        <v>244</v>
      </c>
      <c r="J44" s="572"/>
      <c r="K44" s="565"/>
      <c r="L44" s="573"/>
      <c r="M44" s="565"/>
      <c r="N44" s="565"/>
      <c r="O44" s="342" t="s">
        <v>245</v>
      </c>
      <c r="P44" s="330" t="s">
        <v>243</v>
      </c>
      <c r="Q44" s="350" t="s">
        <v>72</v>
      </c>
      <c r="R44" s="332" t="s">
        <v>73</v>
      </c>
      <c r="S44" s="333">
        <f t="shared" si="16"/>
        <v>15</v>
      </c>
      <c r="T44" s="332" t="s">
        <v>73</v>
      </c>
      <c r="U44" s="333">
        <f t="shared" si="17"/>
        <v>15</v>
      </c>
      <c r="V44" s="332" t="s">
        <v>73</v>
      </c>
      <c r="W44" s="333">
        <f t="shared" si="18"/>
        <v>15</v>
      </c>
      <c r="X44" s="332" t="s">
        <v>72</v>
      </c>
      <c r="Y44" s="333">
        <f t="shared" si="19"/>
        <v>15</v>
      </c>
      <c r="Z44" s="332" t="s">
        <v>73</v>
      </c>
      <c r="AA44" s="333">
        <f t="shared" si="20"/>
        <v>15</v>
      </c>
      <c r="AB44" s="332" t="s">
        <v>73</v>
      </c>
      <c r="AC44" s="333">
        <f t="shared" si="21"/>
        <v>15</v>
      </c>
      <c r="AD44" s="332" t="s">
        <v>74</v>
      </c>
      <c r="AE44" s="333">
        <f t="shared" si="22"/>
        <v>10</v>
      </c>
      <c r="AF44" s="334">
        <f t="shared" si="23"/>
        <v>100</v>
      </c>
      <c r="AG44" s="334" t="str">
        <f t="shared" si="24"/>
        <v>Fuerte</v>
      </c>
      <c r="AH44" s="335" t="s">
        <v>75</v>
      </c>
      <c r="AI44" s="334" t="str">
        <f t="shared" si="25"/>
        <v>Fuerte</v>
      </c>
      <c r="AJ44" s="334" t="str">
        <f>IFERROR(VLOOKUP((CONCATENATE(AG44,AI44)),Listados!$U$3:$V$11,2,FALSE),"")</f>
        <v>Fuerte</v>
      </c>
      <c r="AK44" s="334">
        <f t="shared" si="26"/>
        <v>100</v>
      </c>
      <c r="AL44" s="558"/>
      <c r="AM44" s="558"/>
      <c r="AN44" s="558"/>
      <c r="AO44" s="558"/>
      <c r="AP44" s="567"/>
      <c r="AQ44" s="567"/>
      <c r="AR44" s="565"/>
      <c r="AS44" s="565"/>
      <c r="AT44" s="565"/>
      <c r="AU44" s="853"/>
      <c r="AV44" s="501"/>
      <c r="AW44" s="503"/>
      <c r="AX44" s="336"/>
      <c r="AY44" s="336"/>
      <c r="AZ44" s="336"/>
      <c r="BA44" s="336"/>
      <c r="BB44" s="787"/>
      <c r="BC44" s="787"/>
      <c r="BD44" s="790"/>
      <c r="BE44" s="645"/>
      <c r="BF44" s="648"/>
      <c r="BG44" s="651"/>
    </row>
    <row r="45" spans="1:59" ht="108" customHeight="1">
      <c r="A45" s="636"/>
      <c r="B45" s="639"/>
      <c r="C45" s="667"/>
      <c r="D45" s="592"/>
      <c r="E45" s="579"/>
      <c r="F45" s="654"/>
      <c r="G45" s="329" t="s">
        <v>246</v>
      </c>
      <c r="H45" s="328" t="s">
        <v>67</v>
      </c>
      <c r="I45" s="337" t="s">
        <v>247</v>
      </c>
      <c r="J45" s="572"/>
      <c r="K45" s="565"/>
      <c r="L45" s="573"/>
      <c r="M45" s="565"/>
      <c r="N45" s="565"/>
      <c r="O45" s="342" t="s">
        <v>248</v>
      </c>
      <c r="P45" s="330" t="s">
        <v>246</v>
      </c>
      <c r="Q45" s="348" t="s">
        <v>72</v>
      </c>
      <c r="R45" s="332" t="s">
        <v>73</v>
      </c>
      <c r="S45" s="333">
        <f t="shared" si="16"/>
        <v>15</v>
      </c>
      <c r="T45" s="332" t="s">
        <v>73</v>
      </c>
      <c r="U45" s="333">
        <f t="shared" si="17"/>
        <v>15</v>
      </c>
      <c r="V45" s="332" t="s">
        <v>73</v>
      </c>
      <c r="W45" s="333">
        <f t="shared" si="18"/>
        <v>15</v>
      </c>
      <c r="X45" s="332" t="s">
        <v>72</v>
      </c>
      <c r="Y45" s="333">
        <f t="shared" si="19"/>
        <v>15</v>
      </c>
      <c r="Z45" s="332" t="s">
        <v>73</v>
      </c>
      <c r="AA45" s="333">
        <f t="shared" si="20"/>
        <v>15</v>
      </c>
      <c r="AB45" s="332" t="s">
        <v>73</v>
      </c>
      <c r="AC45" s="333">
        <f t="shared" si="21"/>
        <v>15</v>
      </c>
      <c r="AD45" s="332" t="s">
        <v>74</v>
      </c>
      <c r="AE45" s="333">
        <f t="shared" si="22"/>
        <v>10</v>
      </c>
      <c r="AF45" s="334">
        <f t="shared" si="23"/>
        <v>100</v>
      </c>
      <c r="AG45" s="334" t="str">
        <f t="shared" si="24"/>
        <v>Fuerte</v>
      </c>
      <c r="AH45" s="335" t="s">
        <v>75</v>
      </c>
      <c r="AI45" s="334" t="str">
        <f t="shared" si="25"/>
        <v>Fuerte</v>
      </c>
      <c r="AJ45" s="334" t="str">
        <f>IFERROR(VLOOKUP((CONCATENATE(AG45,AI45)),Listados!$U$3:$V$11,2,FALSE),"")</f>
        <v>Fuerte</v>
      </c>
      <c r="AK45" s="334">
        <f t="shared" si="26"/>
        <v>100</v>
      </c>
      <c r="AL45" s="558"/>
      <c r="AM45" s="558"/>
      <c r="AN45" s="558"/>
      <c r="AO45" s="558"/>
      <c r="AP45" s="567"/>
      <c r="AQ45" s="567"/>
      <c r="AR45" s="565"/>
      <c r="AS45" s="565"/>
      <c r="AT45" s="565"/>
      <c r="AU45" s="853"/>
      <c r="AV45" s="501"/>
      <c r="AW45" s="503"/>
      <c r="AX45" s="339"/>
      <c r="AY45" s="339"/>
      <c r="AZ45" s="336"/>
      <c r="BA45" s="336"/>
      <c r="BB45" s="787"/>
      <c r="BC45" s="787"/>
      <c r="BD45" s="790"/>
      <c r="BE45" s="645"/>
      <c r="BF45" s="648"/>
      <c r="BG45" s="651"/>
    </row>
    <row r="46" spans="1:59" ht="15.75" customHeight="1" thickBot="1">
      <c r="A46" s="637"/>
      <c r="B46" s="640"/>
      <c r="C46" s="668"/>
      <c r="D46" s="593"/>
      <c r="E46" s="549"/>
      <c r="F46" s="655"/>
      <c r="G46" s="256"/>
      <c r="H46" s="255"/>
      <c r="I46" s="257"/>
      <c r="J46" s="586"/>
      <c r="K46" s="570"/>
      <c r="L46" s="587"/>
      <c r="M46" s="570"/>
      <c r="N46" s="570"/>
      <c r="O46" s="271"/>
      <c r="P46" s="265"/>
      <c r="Q46" s="269"/>
      <c r="R46" s="260"/>
      <c r="S46" s="261" t="str">
        <f t="shared" si="16"/>
        <v>0</v>
      </c>
      <c r="T46" s="260"/>
      <c r="U46" s="261" t="str">
        <f t="shared" si="17"/>
        <v>0</v>
      </c>
      <c r="V46" s="260"/>
      <c r="W46" s="261" t="str">
        <f t="shared" si="18"/>
        <v>0</v>
      </c>
      <c r="X46" s="260"/>
      <c r="Y46" s="261" t="str">
        <f t="shared" si="19"/>
        <v>0</v>
      </c>
      <c r="Z46" s="260"/>
      <c r="AA46" s="261" t="str">
        <f t="shared" si="20"/>
        <v>0</v>
      </c>
      <c r="AB46" s="260"/>
      <c r="AC46" s="261" t="str">
        <f t="shared" si="21"/>
        <v>0</v>
      </c>
      <c r="AD46" s="260"/>
      <c r="AE46" s="261" t="str">
        <f t="shared" si="22"/>
        <v>0</v>
      </c>
      <c r="AF46" s="262" t="str">
        <f t="shared" si="23"/>
        <v/>
      </c>
      <c r="AG46" s="262" t="str">
        <f t="shared" si="24"/>
        <v/>
      </c>
      <c r="AH46" s="263"/>
      <c r="AI46" s="262" t="str">
        <f t="shared" si="25"/>
        <v/>
      </c>
      <c r="AJ46" s="262" t="str">
        <f>IFERROR(VLOOKUP((CONCATENATE(AG46,AI46)),Listados!$U$3:$V$11,2,FALSE),"")</f>
        <v/>
      </c>
      <c r="AK46" s="262" t="str">
        <f t="shared" si="26"/>
        <v/>
      </c>
      <c r="AL46" s="560"/>
      <c r="AM46" s="560"/>
      <c r="AN46" s="560"/>
      <c r="AO46" s="560"/>
      <c r="AP46" s="568"/>
      <c r="AQ46" s="568"/>
      <c r="AR46" s="570"/>
      <c r="AS46" s="570"/>
      <c r="AT46" s="570"/>
      <c r="AU46" s="570"/>
      <c r="AV46" s="169"/>
      <c r="AW46" s="249"/>
      <c r="AX46" s="250"/>
      <c r="AY46" s="250"/>
      <c r="AZ46" s="249"/>
      <c r="BA46" s="249"/>
      <c r="BB46" s="788"/>
      <c r="BC46" s="788"/>
      <c r="BD46" s="791"/>
      <c r="BE46" s="646"/>
      <c r="BF46" s="649"/>
      <c r="BG46" s="652"/>
    </row>
    <row r="47" spans="1:59" ht="171" customHeight="1">
      <c r="A47" s="635">
        <v>10</v>
      </c>
      <c r="B47" s="638" t="s">
        <v>234</v>
      </c>
      <c r="C47" s="666" t="s">
        <v>235</v>
      </c>
      <c r="D47" s="669" t="s">
        <v>249</v>
      </c>
      <c r="E47" s="624" t="s">
        <v>221</v>
      </c>
      <c r="F47" s="653" t="s">
        <v>65</v>
      </c>
      <c r="G47" s="92" t="s">
        <v>250</v>
      </c>
      <c r="H47" s="91" t="s">
        <v>67</v>
      </c>
      <c r="I47" s="128" t="s">
        <v>251</v>
      </c>
      <c r="J47" s="584" t="s">
        <v>88</v>
      </c>
      <c r="K47" s="569">
        <f>+VLOOKUP(J47,Listados!$K$8:$L$12,2,0)</f>
        <v>3</v>
      </c>
      <c r="L47" s="585" t="s">
        <v>70</v>
      </c>
      <c r="M47" s="569">
        <f>+VLOOKUP(L47,Listados!$K$13:$L$17,2,0)</f>
        <v>2</v>
      </c>
      <c r="N47" s="569" t="str">
        <f>IF(AND(J47&lt;&gt;"",L47&lt;&gt;""),VLOOKUP(J47&amp;L47,Listados!$M$3:$N$27,2,FALSE),"")</f>
        <v>Moderado</v>
      </c>
      <c r="O47" s="92" t="s">
        <v>252</v>
      </c>
      <c r="P47" s="141" t="s">
        <v>253</v>
      </c>
      <c r="Q47" s="106" t="s">
        <v>72</v>
      </c>
      <c r="R47" s="94" t="s">
        <v>73</v>
      </c>
      <c r="S47" s="93">
        <f t="shared" si="16"/>
        <v>15</v>
      </c>
      <c r="T47" s="94" t="s">
        <v>73</v>
      </c>
      <c r="U47" s="93">
        <f t="shared" si="17"/>
        <v>15</v>
      </c>
      <c r="V47" s="94" t="s">
        <v>73</v>
      </c>
      <c r="W47" s="93">
        <f t="shared" si="18"/>
        <v>15</v>
      </c>
      <c r="X47" s="94" t="s">
        <v>72</v>
      </c>
      <c r="Y47" s="93">
        <f t="shared" si="19"/>
        <v>15</v>
      </c>
      <c r="Z47" s="94" t="s">
        <v>73</v>
      </c>
      <c r="AA47" s="93">
        <f t="shared" si="20"/>
        <v>15</v>
      </c>
      <c r="AB47" s="94" t="s">
        <v>73</v>
      </c>
      <c r="AC47" s="93">
        <f t="shared" si="21"/>
        <v>15</v>
      </c>
      <c r="AD47" s="94" t="s">
        <v>74</v>
      </c>
      <c r="AE47" s="93">
        <f t="shared" si="22"/>
        <v>10</v>
      </c>
      <c r="AF47" s="96">
        <f t="shared" si="23"/>
        <v>100</v>
      </c>
      <c r="AG47" s="96" t="str">
        <f t="shared" si="24"/>
        <v>Fuerte</v>
      </c>
      <c r="AH47" s="107" t="s">
        <v>75</v>
      </c>
      <c r="AI47" s="96" t="str">
        <f t="shared" si="25"/>
        <v>Fuerte</v>
      </c>
      <c r="AJ47" s="96" t="str">
        <f>IFERROR(VLOOKUP((CONCATENATE(AG47,AI47)),Listados!$U$3:$V$11,2,FALSE),"")</f>
        <v>Fuerte</v>
      </c>
      <c r="AK47" s="96">
        <f t="shared" si="26"/>
        <v>100</v>
      </c>
      <c r="AL47" s="559">
        <f t="shared" ref="AL47" si="84">AVERAGE(AK47:AK50)</f>
        <v>100</v>
      </c>
      <c r="AM47" s="559" t="str">
        <f t="shared" ref="AM47" si="85">IF(AL47&lt;=50,"Débil",IF(AL47&lt;=99,"Moderado",IF(AL47=100,"fuerte","")))</f>
        <v>fuerte</v>
      </c>
      <c r="AN47" s="559">
        <f t="shared" ref="AN47" si="86">+IF(AND(Q47="Preventivo",AM47="Fuerte"),2,IF(AND(Q47="Preventivo",AM47="Moderado"),1,0))</f>
        <v>2</v>
      </c>
      <c r="AO47" s="559">
        <f t="shared" ref="AO47" si="87">+IF(AND(Q47="Detectivo",$AM47="Fuerte"),2,IF(AND(Q47="Detectivo",$AM47="Moderado"),1,IF(AND(Q47="Preventivo",$AM47="Fuerte"),1,0)))</f>
        <v>1</v>
      </c>
      <c r="AP47" s="566">
        <f t="shared" ref="AP47" si="88">+K47-AN47</f>
        <v>1</v>
      </c>
      <c r="AQ47" s="566">
        <f t="shared" ref="AQ47" si="89">+M47-AO47</f>
        <v>1</v>
      </c>
      <c r="AR47" s="569" t="str">
        <f>+VLOOKUP(MIN(AP47),Listados!$J$18:$K$24,2,TRUE)</f>
        <v>Rara Vez</v>
      </c>
      <c r="AS47" s="569" t="str">
        <f>+VLOOKUP(MIN(AQ47),Listados!$J$26:$K$32,2,TRUE)</f>
        <v>Insignificante</v>
      </c>
      <c r="AT47" s="569" t="str">
        <f>IF(AND(AR47&lt;&gt;"",AS47&lt;&gt;""),VLOOKUP(AR47&amp;AS47,Listados!$M$3:$N$27,2,FALSE),"")</f>
        <v>Bajo</v>
      </c>
      <c r="AU47" s="569" t="str">
        <f>+VLOOKUP(AT47,Listados!$P$3:$Q$6,2,FALSE)</f>
        <v>Asumir el riesgo</v>
      </c>
      <c r="AV47" s="97"/>
      <c r="AW47" s="97"/>
      <c r="AX47" s="98"/>
      <c r="AY47" s="99"/>
      <c r="AZ47" s="97"/>
      <c r="BA47" s="97"/>
      <c r="BB47" s="786" t="s">
        <v>254</v>
      </c>
      <c r="BC47" s="817" t="s">
        <v>255</v>
      </c>
      <c r="BD47" s="789"/>
      <c r="BE47" s="644" t="s">
        <v>256</v>
      </c>
      <c r="BF47" s="647" t="s">
        <v>1608</v>
      </c>
      <c r="BG47" s="650"/>
    </row>
    <row r="48" spans="1:59" ht="104.25" customHeight="1">
      <c r="A48" s="636"/>
      <c r="B48" s="639"/>
      <c r="C48" s="667"/>
      <c r="D48" s="592"/>
      <c r="E48" s="579"/>
      <c r="F48" s="654"/>
      <c r="G48" s="329" t="s">
        <v>257</v>
      </c>
      <c r="H48" s="328" t="s">
        <v>67</v>
      </c>
      <c r="I48" s="337" t="s">
        <v>258</v>
      </c>
      <c r="J48" s="572"/>
      <c r="K48" s="565"/>
      <c r="L48" s="573"/>
      <c r="M48" s="565"/>
      <c r="N48" s="565"/>
      <c r="O48" s="329" t="s">
        <v>259</v>
      </c>
      <c r="P48" s="342" t="s">
        <v>257</v>
      </c>
      <c r="Q48" s="331" t="s">
        <v>72</v>
      </c>
      <c r="R48" s="332" t="s">
        <v>73</v>
      </c>
      <c r="S48" s="333">
        <f t="shared" si="16"/>
        <v>15</v>
      </c>
      <c r="T48" s="332" t="s">
        <v>73</v>
      </c>
      <c r="U48" s="333">
        <f t="shared" si="17"/>
        <v>15</v>
      </c>
      <c r="V48" s="332" t="s">
        <v>73</v>
      </c>
      <c r="W48" s="333">
        <f t="shared" si="18"/>
        <v>15</v>
      </c>
      <c r="X48" s="332" t="s">
        <v>72</v>
      </c>
      <c r="Y48" s="333">
        <f t="shared" si="19"/>
        <v>15</v>
      </c>
      <c r="Z48" s="332" t="s">
        <v>73</v>
      </c>
      <c r="AA48" s="333">
        <f t="shared" si="20"/>
        <v>15</v>
      </c>
      <c r="AB48" s="332" t="s">
        <v>73</v>
      </c>
      <c r="AC48" s="333">
        <f t="shared" si="21"/>
        <v>15</v>
      </c>
      <c r="AD48" s="332" t="s">
        <v>74</v>
      </c>
      <c r="AE48" s="333">
        <f t="shared" si="22"/>
        <v>10</v>
      </c>
      <c r="AF48" s="334">
        <f t="shared" si="23"/>
        <v>100</v>
      </c>
      <c r="AG48" s="334" t="str">
        <f t="shared" si="24"/>
        <v>Fuerte</v>
      </c>
      <c r="AH48" s="335" t="s">
        <v>75</v>
      </c>
      <c r="AI48" s="334" t="str">
        <f t="shared" si="25"/>
        <v>Fuerte</v>
      </c>
      <c r="AJ48" s="334" t="str">
        <f>IFERROR(VLOOKUP((CONCATENATE(AG48,AI48)),Listados!$U$3:$V$11,2,FALSE),"")</f>
        <v>Fuerte</v>
      </c>
      <c r="AK48" s="334">
        <f t="shared" si="26"/>
        <v>100</v>
      </c>
      <c r="AL48" s="558"/>
      <c r="AM48" s="558"/>
      <c r="AN48" s="558"/>
      <c r="AO48" s="558"/>
      <c r="AP48" s="567"/>
      <c r="AQ48" s="567"/>
      <c r="AR48" s="565"/>
      <c r="AS48" s="565"/>
      <c r="AT48" s="565"/>
      <c r="AU48" s="565"/>
      <c r="AV48" s="336"/>
      <c r="AW48" s="336"/>
      <c r="AX48" s="336"/>
      <c r="AY48" s="336"/>
      <c r="AZ48" s="336"/>
      <c r="BA48" s="336"/>
      <c r="BB48" s="787"/>
      <c r="BC48" s="787"/>
      <c r="BD48" s="790"/>
      <c r="BE48" s="645"/>
      <c r="BF48" s="770"/>
      <c r="BG48" s="651"/>
    </row>
    <row r="49" spans="1:59" ht="85.5">
      <c r="A49" s="636"/>
      <c r="B49" s="639"/>
      <c r="C49" s="667"/>
      <c r="D49" s="592"/>
      <c r="E49" s="579"/>
      <c r="F49" s="654"/>
      <c r="G49" s="329" t="s">
        <v>260</v>
      </c>
      <c r="H49" s="328" t="s">
        <v>67</v>
      </c>
      <c r="I49" s="337" t="s">
        <v>261</v>
      </c>
      <c r="J49" s="572"/>
      <c r="K49" s="565"/>
      <c r="L49" s="573"/>
      <c r="M49" s="565"/>
      <c r="N49" s="565"/>
      <c r="O49" s="342" t="s">
        <v>262</v>
      </c>
      <c r="P49" s="144" t="s">
        <v>263</v>
      </c>
      <c r="Q49" s="332" t="s">
        <v>72</v>
      </c>
      <c r="R49" s="332" t="s">
        <v>73</v>
      </c>
      <c r="S49" s="333">
        <f t="shared" si="16"/>
        <v>15</v>
      </c>
      <c r="T49" s="332" t="s">
        <v>73</v>
      </c>
      <c r="U49" s="333">
        <f t="shared" si="17"/>
        <v>15</v>
      </c>
      <c r="V49" s="332" t="s">
        <v>73</v>
      </c>
      <c r="W49" s="333">
        <f t="shared" si="18"/>
        <v>15</v>
      </c>
      <c r="X49" s="332" t="s">
        <v>72</v>
      </c>
      <c r="Y49" s="333">
        <f t="shared" si="19"/>
        <v>15</v>
      </c>
      <c r="Z49" s="332" t="s">
        <v>73</v>
      </c>
      <c r="AA49" s="333">
        <f t="shared" si="20"/>
        <v>15</v>
      </c>
      <c r="AB49" s="332" t="s">
        <v>73</v>
      </c>
      <c r="AC49" s="333">
        <f t="shared" si="21"/>
        <v>15</v>
      </c>
      <c r="AD49" s="332" t="s">
        <v>74</v>
      </c>
      <c r="AE49" s="333">
        <f t="shared" si="22"/>
        <v>10</v>
      </c>
      <c r="AF49" s="334">
        <f t="shared" si="23"/>
        <v>100</v>
      </c>
      <c r="AG49" s="334" t="str">
        <f t="shared" si="24"/>
        <v>Fuerte</v>
      </c>
      <c r="AH49" s="335" t="s">
        <v>75</v>
      </c>
      <c r="AI49" s="334" t="str">
        <f t="shared" si="25"/>
        <v>Fuerte</v>
      </c>
      <c r="AJ49" s="334" t="str">
        <f>IFERROR(VLOOKUP((CONCATENATE(AG49,AI49)),Listados!$U$3:$V$11,2,FALSE),"")</f>
        <v>Fuerte</v>
      </c>
      <c r="AK49" s="334">
        <f t="shared" si="26"/>
        <v>100</v>
      </c>
      <c r="AL49" s="558"/>
      <c r="AM49" s="558"/>
      <c r="AN49" s="558"/>
      <c r="AO49" s="558"/>
      <c r="AP49" s="567"/>
      <c r="AQ49" s="567"/>
      <c r="AR49" s="565"/>
      <c r="AS49" s="565"/>
      <c r="AT49" s="565"/>
      <c r="AU49" s="565"/>
      <c r="AV49" s="336"/>
      <c r="AW49" s="336"/>
      <c r="AX49" s="339"/>
      <c r="AY49" s="339"/>
      <c r="AZ49" s="336"/>
      <c r="BA49" s="336"/>
      <c r="BB49" s="787"/>
      <c r="BC49" s="787"/>
      <c r="BD49" s="790"/>
      <c r="BE49" s="645"/>
      <c r="BF49" s="770"/>
      <c r="BG49" s="651"/>
    </row>
    <row r="50" spans="1:59" ht="72" thickBot="1">
      <c r="A50" s="637"/>
      <c r="B50" s="640"/>
      <c r="C50" s="668"/>
      <c r="D50" s="593"/>
      <c r="E50" s="549"/>
      <c r="F50" s="655"/>
      <c r="G50" s="256" t="s">
        <v>263</v>
      </c>
      <c r="H50" s="255" t="s">
        <v>67</v>
      </c>
      <c r="I50" s="257" t="s">
        <v>264</v>
      </c>
      <c r="J50" s="586"/>
      <c r="K50" s="570"/>
      <c r="L50" s="587"/>
      <c r="M50" s="570"/>
      <c r="N50" s="570"/>
      <c r="O50" s="271"/>
      <c r="P50" s="265"/>
      <c r="Q50" s="269"/>
      <c r="R50" s="260"/>
      <c r="S50" s="261" t="str">
        <f t="shared" si="16"/>
        <v>0</v>
      </c>
      <c r="T50" s="260"/>
      <c r="U50" s="261" t="str">
        <f t="shared" si="17"/>
        <v>0</v>
      </c>
      <c r="V50" s="260"/>
      <c r="W50" s="261" t="str">
        <f t="shared" si="18"/>
        <v>0</v>
      </c>
      <c r="X50" s="260"/>
      <c r="Y50" s="261" t="str">
        <f t="shared" si="19"/>
        <v>0</v>
      </c>
      <c r="Z50" s="260"/>
      <c r="AA50" s="261" t="str">
        <f t="shared" si="20"/>
        <v>0</v>
      </c>
      <c r="AB50" s="260"/>
      <c r="AC50" s="261" t="str">
        <f t="shared" si="21"/>
        <v>0</v>
      </c>
      <c r="AD50" s="260"/>
      <c r="AE50" s="261" t="str">
        <f t="shared" si="22"/>
        <v>0</v>
      </c>
      <c r="AF50" s="262" t="str">
        <f t="shared" si="23"/>
        <v/>
      </c>
      <c r="AG50" s="262" t="str">
        <f t="shared" si="24"/>
        <v/>
      </c>
      <c r="AH50" s="263"/>
      <c r="AI50" s="262" t="str">
        <f t="shared" si="25"/>
        <v/>
      </c>
      <c r="AJ50" s="262" t="str">
        <f>IFERROR(VLOOKUP((CONCATENATE(AG50,AI50)),Listados!$U$3:$V$11,2,FALSE),"")</f>
        <v/>
      </c>
      <c r="AK50" s="262" t="str">
        <f t="shared" si="26"/>
        <v/>
      </c>
      <c r="AL50" s="560"/>
      <c r="AM50" s="560"/>
      <c r="AN50" s="560"/>
      <c r="AO50" s="560"/>
      <c r="AP50" s="568"/>
      <c r="AQ50" s="568"/>
      <c r="AR50" s="570"/>
      <c r="AS50" s="570"/>
      <c r="AT50" s="570"/>
      <c r="AU50" s="570"/>
      <c r="AV50" s="249"/>
      <c r="AW50" s="249"/>
      <c r="AX50" s="250"/>
      <c r="AY50" s="250"/>
      <c r="AZ50" s="249"/>
      <c r="BA50" s="249"/>
      <c r="BB50" s="788"/>
      <c r="BC50" s="788"/>
      <c r="BD50" s="791"/>
      <c r="BE50" s="646"/>
      <c r="BF50" s="771"/>
      <c r="BG50" s="652"/>
    </row>
    <row r="51" spans="1:59" ht="114">
      <c r="A51" s="635">
        <v>11</v>
      </c>
      <c r="B51" s="638" t="s">
        <v>234</v>
      </c>
      <c r="C51" s="666" t="s">
        <v>235</v>
      </c>
      <c r="D51" s="653" t="s">
        <v>265</v>
      </c>
      <c r="E51" s="584" t="s">
        <v>221</v>
      </c>
      <c r="F51" s="653" t="s">
        <v>65</v>
      </c>
      <c r="G51" s="92" t="s">
        <v>266</v>
      </c>
      <c r="H51" s="91" t="s">
        <v>67</v>
      </c>
      <c r="I51" s="128" t="s">
        <v>267</v>
      </c>
      <c r="J51" s="584" t="s">
        <v>88</v>
      </c>
      <c r="K51" s="569">
        <f>+VLOOKUP(J51,Listados!$K$8:$L$12,2,0)</f>
        <v>3</v>
      </c>
      <c r="L51" s="585" t="s">
        <v>70</v>
      </c>
      <c r="M51" s="569">
        <f>+VLOOKUP(L51,Listados!$K$13:$L$17,2,0)</f>
        <v>2</v>
      </c>
      <c r="N51" s="569" t="str">
        <f>IF(AND(J51&lt;&gt;"",L51&lt;&gt;""),VLOOKUP(J51&amp;L51,Listados!$M$3:$N$27,2,FALSE),"")</f>
        <v>Moderado</v>
      </c>
      <c r="O51" s="92" t="s">
        <v>268</v>
      </c>
      <c r="P51" s="105" t="s">
        <v>269</v>
      </c>
      <c r="Q51" s="130" t="s">
        <v>72</v>
      </c>
      <c r="R51" s="94" t="s">
        <v>73</v>
      </c>
      <c r="S51" s="93">
        <f t="shared" si="16"/>
        <v>15</v>
      </c>
      <c r="T51" s="94" t="s">
        <v>73</v>
      </c>
      <c r="U51" s="93">
        <f t="shared" si="17"/>
        <v>15</v>
      </c>
      <c r="V51" s="94" t="s">
        <v>73</v>
      </c>
      <c r="W51" s="93">
        <f t="shared" si="18"/>
        <v>15</v>
      </c>
      <c r="X51" s="94" t="s">
        <v>72</v>
      </c>
      <c r="Y51" s="93">
        <f t="shared" si="19"/>
        <v>15</v>
      </c>
      <c r="Z51" s="94" t="s">
        <v>73</v>
      </c>
      <c r="AA51" s="93">
        <f t="shared" si="20"/>
        <v>15</v>
      </c>
      <c r="AB51" s="94" t="s">
        <v>73</v>
      </c>
      <c r="AC51" s="93">
        <f t="shared" si="21"/>
        <v>15</v>
      </c>
      <c r="AD51" s="94" t="s">
        <v>74</v>
      </c>
      <c r="AE51" s="93">
        <f t="shared" si="22"/>
        <v>10</v>
      </c>
      <c r="AF51" s="96">
        <f t="shared" si="23"/>
        <v>100</v>
      </c>
      <c r="AG51" s="96" t="str">
        <f t="shared" si="24"/>
        <v>Fuerte</v>
      </c>
      <c r="AH51" s="107" t="s">
        <v>75</v>
      </c>
      <c r="AI51" s="96" t="str">
        <f t="shared" si="25"/>
        <v>Fuerte</v>
      </c>
      <c r="AJ51" s="96" t="str">
        <f>IFERROR(VLOOKUP((CONCATENATE(AG51,AI51)),Listados!$U$3:$V$11,2,FALSE),"")</f>
        <v>Fuerte</v>
      </c>
      <c r="AK51" s="96">
        <f t="shared" si="26"/>
        <v>100</v>
      </c>
      <c r="AL51" s="559">
        <f t="shared" ref="AL51" si="90">AVERAGE(AK51:AK54)</f>
        <v>100</v>
      </c>
      <c r="AM51" s="559" t="str">
        <f t="shared" ref="AM51" si="91">IF(AL51&lt;=50,"Débil",IF(AL51&lt;=99,"Moderado",IF(AL51=100,"fuerte","")))</f>
        <v>fuerte</v>
      </c>
      <c r="AN51" s="559">
        <f t="shared" ref="AN51" si="92">+IF(AND(Q51="Preventivo",AM51="Fuerte"),2,IF(AND(Q51="Preventivo",AM51="Moderado"),1,0))</f>
        <v>2</v>
      </c>
      <c r="AO51" s="559">
        <f t="shared" ref="AO51" si="93">+IF(AND(Q51="Detectivo",$AM51="Fuerte"),2,IF(AND(Q51="Detectivo",$AM51="Moderado"),1,IF(AND(Q51="Preventivo",$AM51="Fuerte"),1,0)))</f>
        <v>1</v>
      </c>
      <c r="AP51" s="566">
        <f t="shared" ref="AP51" si="94">+K51-AN51</f>
        <v>1</v>
      </c>
      <c r="AQ51" s="566">
        <f t="shared" ref="AQ51" si="95">+M51-AO51</f>
        <v>1</v>
      </c>
      <c r="AR51" s="569" t="str">
        <f>+VLOOKUP(MIN(AP51),Listados!$J$18:$K$24,2,TRUE)</f>
        <v>Rara Vez</v>
      </c>
      <c r="AS51" s="569" t="str">
        <f>+VLOOKUP(MIN(AQ51),Listados!$J$26:$K$32,2,TRUE)</f>
        <v>Insignificante</v>
      </c>
      <c r="AT51" s="569" t="str">
        <f>IF(AND(AR51&lt;&gt;"",AS51&lt;&gt;""),VLOOKUP(AR51&amp;AS51,Listados!$M$3:$N$27,2,FALSE),"")</f>
        <v>Bajo</v>
      </c>
      <c r="AU51" s="569" t="str">
        <f>+VLOOKUP(AT51,Listados!$P$3:$Q$6,2,FALSE)</f>
        <v>Asumir el riesgo</v>
      </c>
      <c r="AV51" s="97"/>
      <c r="AW51" s="97"/>
      <c r="AX51" s="98"/>
      <c r="AY51" s="99"/>
      <c r="AZ51" s="97"/>
      <c r="BA51" s="97"/>
      <c r="BB51" s="786" t="s">
        <v>270</v>
      </c>
      <c r="BC51" s="786" t="s">
        <v>271</v>
      </c>
      <c r="BD51" s="789"/>
      <c r="BE51" s="644" t="s">
        <v>272</v>
      </c>
      <c r="BF51" s="647" t="s">
        <v>1609</v>
      </c>
      <c r="BG51" s="650"/>
    </row>
    <row r="52" spans="1:59" ht="114">
      <c r="A52" s="636"/>
      <c r="B52" s="639"/>
      <c r="C52" s="667"/>
      <c r="D52" s="654"/>
      <c r="E52" s="572"/>
      <c r="F52" s="654"/>
      <c r="G52" s="329" t="s">
        <v>269</v>
      </c>
      <c r="H52" s="328" t="s">
        <v>67</v>
      </c>
      <c r="I52" s="337" t="s">
        <v>273</v>
      </c>
      <c r="J52" s="572"/>
      <c r="K52" s="565"/>
      <c r="L52" s="573"/>
      <c r="M52" s="565"/>
      <c r="N52" s="565"/>
      <c r="O52" s="329" t="s">
        <v>274</v>
      </c>
      <c r="P52" s="330" t="s">
        <v>266</v>
      </c>
      <c r="Q52" s="350" t="s">
        <v>72</v>
      </c>
      <c r="R52" s="332" t="s">
        <v>73</v>
      </c>
      <c r="S52" s="333">
        <f t="shared" si="16"/>
        <v>15</v>
      </c>
      <c r="T52" s="332" t="s">
        <v>73</v>
      </c>
      <c r="U52" s="333">
        <f t="shared" si="17"/>
        <v>15</v>
      </c>
      <c r="V52" s="332" t="s">
        <v>73</v>
      </c>
      <c r="W52" s="333">
        <f t="shared" si="18"/>
        <v>15</v>
      </c>
      <c r="X52" s="332" t="s">
        <v>72</v>
      </c>
      <c r="Y52" s="333">
        <f t="shared" si="19"/>
        <v>15</v>
      </c>
      <c r="Z52" s="332" t="s">
        <v>73</v>
      </c>
      <c r="AA52" s="333">
        <f t="shared" si="20"/>
        <v>15</v>
      </c>
      <c r="AB52" s="332" t="s">
        <v>73</v>
      </c>
      <c r="AC52" s="333">
        <f t="shared" si="21"/>
        <v>15</v>
      </c>
      <c r="AD52" s="332" t="s">
        <v>74</v>
      </c>
      <c r="AE52" s="333">
        <f t="shared" si="22"/>
        <v>10</v>
      </c>
      <c r="AF52" s="334">
        <f t="shared" si="23"/>
        <v>100</v>
      </c>
      <c r="AG52" s="334" t="str">
        <f t="shared" si="24"/>
        <v>Fuerte</v>
      </c>
      <c r="AH52" s="335" t="s">
        <v>75</v>
      </c>
      <c r="AI52" s="334" t="str">
        <f t="shared" si="25"/>
        <v>Fuerte</v>
      </c>
      <c r="AJ52" s="334" t="str">
        <f>IFERROR(VLOOKUP((CONCATENATE(AG52,AI52)),Listados!$U$3:$V$11,2,FALSE),"")</f>
        <v>Fuerte</v>
      </c>
      <c r="AK52" s="334">
        <f t="shared" si="26"/>
        <v>100</v>
      </c>
      <c r="AL52" s="558"/>
      <c r="AM52" s="558"/>
      <c r="AN52" s="558"/>
      <c r="AO52" s="558"/>
      <c r="AP52" s="567"/>
      <c r="AQ52" s="567"/>
      <c r="AR52" s="565"/>
      <c r="AS52" s="565"/>
      <c r="AT52" s="565"/>
      <c r="AU52" s="565"/>
      <c r="AV52" s="336"/>
      <c r="AW52" s="336"/>
      <c r="AX52" s="336"/>
      <c r="AY52" s="336"/>
      <c r="AZ52" s="336"/>
      <c r="BA52" s="336"/>
      <c r="BB52" s="787"/>
      <c r="BC52" s="787"/>
      <c r="BD52" s="790"/>
      <c r="BE52" s="645"/>
      <c r="BF52" s="648"/>
      <c r="BG52" s="651"/>
    </row>
    <row r="53" spans="1:59">
      <c r="A53" s="636"/>
      <c r="B53" s="639"/>
      <c r="C53" s="667"/>
      <c r="D53" s="654"/>
      <c r="E53" s="572"/>
      <c r="F53" s="654"/>
      <c r="G53" s="329"/>
      <c r="H53" s="337"/>
      <c r="I53" s="337"/>
      <c r="J53" s="572"/>
      <c r="K53" s="565"/>
      <c r="L53" s="573"/>
      <c r="M53" s="565"/>
      <c r="N53" s="565"/>
      <c r="O53" s="353"/>
      <c r="P53" s="338"/>
      <c r="Q53" s="348"/>
      <c r="R53" s="332"/>
      <c r="S53" s="333" t="str">
        <f t="shared" si="16"/>
        <v>0</v>
      </c>
      <c r="T53" s="332"/>
      <c r="U53" s="333" t="str">
        <f t="shared" si="17"/>
        <v>0</v>
      </c>
      <c r="V53" s="332"/>
      <c r="W53" s="333" t="str">
        <f t="shared" si="18"/>
        <v>0</v>
      </c>
      <c r="X53" s="332"/>
      <c r="Y53" s="333" t="str">
        <f t="shared" si="19"/>
        <v>0</v>
      </c>
      <c r="Z53" s="332"/>
      <c r="AA53" s="333" t="str">
        <f t="shared" si="20"/>
        <v>0</v>
      </c>
      <c r="AB53" s="332"/>
      <c r="AC53" s="333" t="str">
        <f t="shared" si="21"/>
        <v>0</v>
      </c>
      <c r="AD53" s="332"/>
      <c r="AE53" s="333" t="str">
        <f t="shared" si="22"/>
        <v>0</v>
      </c>
      <c r="AF53" s="334" t="str">
        <f t="shared" si="23"/>
        <v/>
      </c>
      <c r="AG53" s="334" t="str">
        <f t="shared" si="24"/>
        <v/>
      </c>
      <c r="AH53" s="335"/>
      <c r="AI53" s="334" t="str">
        <f t="shared" si="25"/>
        <v/>
      </c>
      <c r="AJ53" s="334" t="str">
        <f>IFERROR(VLOOKUP((CONCATENATE(AG53,AI53)),Listados!$U$3:$V$11,2,FALSE),"")</f>
        <v/>
      </c>
      <c r="AK53" s="334" t="str">
        <f t="shared" si="26"/>
        <v/>
      </c>
      <c r="AL53" s="558"/>
      <c r="AM53" s="558"/>
      <c r="AN53" s="558"/>
      <c r="AO53" s="558"/>
      <c r="AP53" s="567"/>
      <c r="AQ53" s="567"/>
      <c r="AR53" s="565"/>
      <c r="AS53" s="565"/>
      <c r="AT53" s="565"/>
      <c r="AU53" s="565"/>
      <c r="AV53" s="336"/>
      <c r="AW53" s="336"/>
      <c r="AX53" s="339"/>
      <c r="AY53" s="339"/>
      <c r="AZ53" s="336"/>
      <c r="BA53" s="336"/>
      <c r="BB53" s="787"/>
      <c r="BC53" s="787"/>
      <c r="BD53" s="790"/>
      <c r="BE53" s="645"/>
      <c r="BF53" s="648"/>
      <c r="BG53" s="651"/>
    </row>
    <row r="54" spans="1:59" ht="37.5" customHeight="1" thickBot="1">
      <c r="A54" s="637"/>
      <c r="B54" s="640"/>
      <c r="C54" s="668"/>
      <c r="D54" s="655"/>
      <c r="E54" s="586"/>
      <c r="F54" s="655"/>
      <c r="G54" s="256"/>
      <c r="H54" s="257"/>
      <c r="I54" s="257"/>
      <c r="J54" s="586"/>
      <c r="K54" s="570"/>
      <c r="L54" s="587"/>
      <c r="M54" s="570"/>
      <c r="N54" s="570"/>
      <c r="O54" s="271"/>
      <c r="P54" s="259"/>
      <c r="Q54" s="269"/>
      <c r="R54" s="260"/>
      <c r="S54" s="261" t="str">
        <f t="shared" si="16"/>
        <v>0</v>
      </c>
      <c r="T54" s="260"/>
      <c r="U54" s="261" t="str">
        <f t="shared" si="17"/>
        <v>0</v>
      </c>
      <c r="V54" s="260"/>
      <c r="W54" s="261" t="str">
        <f t="shared" si="18"/>
        <v>0</v>
      </c>
      <c r="X54" s="260"/>
      <c r="Y54" s="261" t="str">
        <f t="shared" si="19"/>
        <v>0</v>
      </c>
      <c r="Z54" s="260"/>
      <c r="AA54" s="261" t="str">
        <f t="shared" si="20"/>
        <v>0</v>
      </c>
      <c r="AB54" s="260"/>
      <c r="AC54" s="261" t="str">
        <f t="shared" si="21"/>
        <v>0</v>
      </c>
      <c r="AD54" s="260"/>
      <c r="AE54" s="261" t="str">
        <f t="shared" si="22"/>
        <v>0</v>
      </c>
      <c r="AF54" s="262" t="str">
        <f t="shared" si="23"/>
        <v/>
      </c>
      <c r="AG54" s="262" t="str">
        <f t="shared" si="24"/>
        <v/>
      </c>
      <c r="AH54" s="263"/>
      <c r="AI54" s="262" t="str">
        <f t="shared" si="25"/>
        <v/>
      </c>
      <c r="AJ54" s="262" t="str">
        <f>IFERROR(VLOOKUP((CONCATENATE(AG54,AI54)),Listados!$U$3:$V$11,2,FALSE),"")</f>
        <v/>
      </c>
      <c r="AK54" s="262" t="str">
        <f t="shared" si="26"/>
        <v/>
      </c>
      <c r="AL54" s="560"/>
      <c r="AM54" s="560"/>
      <c r="AN54" s="560"/>
      <c r="AO54" s="560"/>
      <c r="AP54" s="568"/>
      <c r="AQ54" s="568"/>
      <c r="AR54" s="570"/>
      <c r="AS54" s="570"/>
      <c r="AT54" s="570"/>
      <c r="AU54" s="570"/>
      <c r="AV54" s="249"/>
      <c r="AW54" s="249"/>
      <c r="AX54" s="250"/>
      <c r="AY54" s="250"/>
      <c r="AZ54" s="249"/>
      <c r="BA54" s="249"/>
      <c r="BB54" s="788"/>
      <c r="BC54" s="788"/>
      <c r="BD54" s="791"/>
      <c r="BE54" s="646"/>
      <c r="BF54" s="649"/>
      <c r="BG54" s="652"/>
    </row>
    <row r="55" spans="1:59" ht="125.25" customHeight="1">
      <c r="A55" s="663">
        <v>12</v>
      </c>
      <c r="B55" s="638" t="s">
        <v>275</v>
      </c>
      <c r="C55" s="641" t="s">
        <v>276</v>
      </c>
      <c r="D55" s="653" t="s">
        <v>277</v>
      </c>
      <c r="E55" s="653" t="s">
        <v>278</v>
      </c>
      <c r="F55" s="653" t="s">
        <v>279</v>
      </c>
      <c r="G55" s="540" t="s">
        <v>280</v>
      </c>
      <c r="H55" s="91" t="s">
        <v>67</v>
      </c>
      <c r="I55" s="492" t="s">
        <v>281</v>
      </c>
      <c r="J55" s="584" t="s">
        <v>88</v>
      </c>
      <c r="K55" s="569">
        <f>+VLOOKUP(J55,Listados!$K$8:$L$12,2,0)</f>
        <v>3</v>
      </c>
      <c r="L55" s="585" t="s">
        <v>89</v>
      </c>
      <c r="M55" s="569">
        <f>+VLOOKUP(L55,Listados!$K$13:$L$17,2,0)</f>
        <v>3</v>
      </c>
      <c r="N55" s="569" t="str">
        <f>IF(AND(J55&lt;&gt;"",L55&lt;&gt;""),VLOOKUP(J55&amp;L55,Listados!$M$3:$N$27,2,FALSE),"")</f>
        <v>Alto</v>
      </c>
      <c r="O55" s="540" t="s">
        <v>282</v>
      </c>
      <c r="P55" s="105" t="s">
        <v>280</v>
      </c>
      <c r="Q55" s="130" t="s">
        <v>72</v>
      </c>
      <c r="R55" s="94" t="s">
        <v>73</v>
      </c>
      <c r="S55" s="93">
        <f t="shared" si="16"/>
        <v>15</v>
      </c>
      <c r="T55" s="94" t="s">
        <v>73</v>
      </c>
      <c r="U55" s="93">
        <f t="shared" si="17"/>
        <v>15</v>
      </c>
      <c r="V55" s="94" t="s">
        <v>73</v>
      </c>
      <c r="W55" s="93">
        <f t="shared" si="18"/>
        <v>15</v>
      </c>
      <c r="X55" s="94" t="s">
        <v>72</v>
      </c>
      <c r="Y55" s="93">
        <f t="shared" si="19"/>
        <v>15</v>
      </c>
      <c r="Z55" s="94" t="s">
        <v>73</v>
      </c>
      <c r="AA55" s="93">
        <f t="shared" si="20"/>
        <v>15</v>
      </c>
      <c r="AB55" s="94" t="s">
        <v>73</v>
      </c>
      <c r="AC55" s="93">
        <f t="shared" si="21"/>
        <v>15</v>
      </c>
      <c r="AD55" s="94" t="s">
        <v>74</v>
      </c>
      <c r="AE55" s="93">
        <f t="shared" si="22"/>
        <v>10</v>
      </c>
      <c r="AF55" s="96">
        <f t="shared" si="23"/>
        <v>100</v>
      </c>
      <c r="AG55" s="96" t="str">
        <f t="shared" si="24"/>
        <v>Fuerte</v>
      </c>
      <c r="AH55" s="107" t="s">
        <v>75</v>
      </c>
      <c r="AI55" s="96" t="str">
        <f t="shared" si="25"/>
        <v>Fuerte</v>
      </c>
      <c r="AJ55" s="96" t="str">
        <f>IFERROR(VLOOKUP((CONCATENATE(AG55,AI55)),Listados!$U$3:$V$11,2,FALSE),"")</f>
        <v>Fuerte</v>
      </c>
      <c r="AK55" s="96">
        <f t="shared" si="26"/>
        <v>100</v>
      </c>
      <c r="AL55" s="559">
        <f t="shared" ref="AL55" si="96">AVERAGE(AK55:AK58)</f>
        <v>100</v>
      </c>
      <c r="AM55" s="559" t="str">
        <f t="shared" ref="AM55" si="97">IF(AL55&lt;=50,"Débil",IF(AL55&lt;=99,"Moderado",IF(AL55=100,"fuerte","")))</f>
        <v>fuerte</v>
      </c>
      <c r="AN55" s="559">
        <f t="shared" ref="AN55" si="98">+IF(AND(Q55="Preventivo",AM55="Fuerte"),2,IF(AND(Q55="Preventivo",AM55="Moderado"),1,0))</f>
        <v>2</v>
      </c>
      <c r="AO55" s="559">
        <f t="shared" ref="AO55" si="99">+IF(AND(Q55="Detectivo",$AM55="Fuerte"),2,IF(AND(Q55="Detectivo",$AM55="Moderado"),1,IF(AND(Q55="Preventivo",$AM55="Fuerte"),1,0)))</f>
        <v>1</v>
      </c>
      <c r="AP55" s="566">
        <f t="shared" ref="AP55" si="100">+K55-AN55</f>
        <v>1</v>
      </c>
      <c r="AQ55" s="566">
        <f t="shared" ref="AQ55" si="101">+M55-AO55</f>
        <v>2</v>
      </c>
      <c r="AR55" s="569" t="str">
        <f>+VLOOKUP(MIN(AP55),Listados!$J$18:$K$24,2,TRUE)</f>
        <v>Rara Vez</v>
      </c>
      <c r="AS55" s="569" t="str">
        <f>+VLOOKUP(MIN(AQ55),Listados!$J$26:$K$32,2,TRUE)</f>
        <v>Menor</v>
      </c>
      <c r="AT55" s="569" t="str">
        <f>IF(AND(AR55&lt;&gt;"",AS55&lt;&gt;""),VLOOKUP(AR55&amp;AS55,Listados!$M$3:$N$27,2,FALSE),"")</f>
        <v>Bajo</v>
      </c>
      <c r="AU55" s="569" t="str">
        <f>+VLOOKUP(AT55,Listados!$P$3:$Q$6,2,FALSE)</f>
        <v>Asumir el riesgo</v>
      </c>
      <c r="AV55" s="495" t="s">
        <v>283</v>
      </c>
      <c r="AW55" s="145" t="s">
        <v>284</v>
      </c>
      <c r="AX55" s="163">
        <v>45658</v>
      </c>
      <c r="AY55" s="163">
        <v>46022</v>
      </c>
      <c r="AZ55" s="498" t="s">
        <v>285</v>
      </c>
      <c r="BA55" s="498" t="s">
        <v>286</v>
      </c>
      <c r="BB55" s="165" t="s">
        <v>287</v>
      </c>
      <c r="BC55" s="530" t="s">
        <v>288</v>
      </c>
      <c r="BD55" s="789"/>
      <c r="BE55" s="644" t="s">
        <v>289</v>
      </c>
      <c r="BF55" s="647" t="s">
        <v>1610</v>
      </c>
      <c r="BG55" s="650"/>
    </row>
    <row r="56" spans="1:59" ht="114.75" customHeight="1" thickBot="1">
      <c r="A56" s="664"/>
      <c r="B56" s="639"/>
      <c r="C56" s="642"/>
      <c r="D56" s="654"/>
      <c r="E56" s="654"/>
      <c r="F56" s="654"/>
      <c r="G56" s="540" t="s">
        <v>290</v>
      </c>
      <c r="H56" s="328" t="s">
        <v>155</v>
      </c>
      <c r="I56" s="493" t="s">
        <v>291</v>
      </c>
      <c r="J56" s="572"/>
      <c r="K56" s="565"/>
      <c r="L56" s="573"/>
      <c r="M56" s="565"/>
      <c r="N56" s="565"/>
      <c r="O56" s="540" t="s">
        <v>292</v>
      </c>
      <c r="P56" s="494" t="s">
        <v>293</v>
      </c>
      <c r="Q56" s="350" t="s">
        <v>72</v>
      </c>
      <c r="R56" s="332" t="s">
        <v>73</v>
      </c>
      <c r="S56" s="333">
        <f t="shared" si="16"/>
        <v>15</v>
      </c>
      <c r="T56" s="332" t="s">
        <v>73</v>
      </c>
      <c r="U56" s="333">
        <f t="shared" si="17"/>
        <v>15</v>
      </c>
      <c r="V56" s="332" t="s">
        <v>73</v>
      </c>
      <c r="W56" s="333">
        <f t="shared" si="18"/>
        <v>15</v>
      </c>
      <c r="X56" s="332" t="s">
        <v>72</v>
      </c>
      <c r="Y56" s="333">
        <f t="shared" si="19"/>
        <v>15</v>
      </c>
      <c r="Z56" s="332" t="s">
        <v>73</v>
      </c>
      <c r="AA56" s="333">
        <f t="shared" si="20"/>
        <v>15</v>
      </c>
      <c r="AB56" s="332" t="s">
        <v>73</v>
      </c>
      <c r="AC56" s="333">
        <f t="shared" si="21"/>
        <v>15</v>
      </c>
      <c r="AD56" s="332" t="s">
        <v>74</v>
      </c>
      <c r="AE56" s="333">
        <f t="shared" si="22"/>
        <v>10</v>
      </c>
      <c r="AF56" s="334">
        <f t="shared" si="23"/>
        <v>100</v>
      </c>
      <c r="AG56" s="334" t="str">
        <f t="shared" si="24"/>
        <v>Fuerte</v>
      </c>
      <c r="AH56" s="335" t="s">
        <v>75</v>
      </c>
      <c r="AI56" s="334" t="str">
        <f t="shared" si="25"/>
        <v>Fuerte</v>
      </c>
      <c r="AJ56" s="334" t="str">
        <f>IFERROR(VLOOKUP((CONCATENATE(AG56,AI56)),Listados!$U$3:$V$11,2,FALSE),"")</f>
        <v>Fuerte</v>
      </c>
      <c r="AK56" s="334">
        <f t="shared" si="26"/>
        <v>100</v>
      </c>
      <c r="AL56" s="558"/>
      <c r="AM56" s="558"/>
      <c r="AN56" s="558"/>
      <c r="AO56" s="558"/>
      <c r="AP56" s="567"/>
      <c r="AQ56" s="567"/>
      <c r="AR56" s="565"/>
      <c r="AS56" s="565"/>
      <c r="AT56" s="565"/>
      <c r="AU56" s="565"/>
      <c r="AV56" s="495" t="s">
        <v>283</v>
      </c>
      <c r="AW56" s="497" t="s">
        <v>294</v>
      </c>
      <c r="AX56" s="393">
        <v>45658</v>
      </c>
      <c r="AY56" s="393">
        <v>45747</v>
      </c>
      <c r="AZ56" s="499" t="s">
        <v>285</v>
      </c>
      <c r="BA56" s="498" t="s">
        <v>295</v>
      </c>
      <c r="BB56" s="343" t="s">
        <v>296</v>
      </c>
      <c r="BC56" s="531" t="s">
        <v>297</v>
      </c>
      <c r="BD56" s="790"/>
      <c r="BE56" s="645"/>
      <c r="BF56" s="770"/>
      <c r="BG56" s="651"/>
    </row>
    <row r="57" spans="1:59" ht="191.25">
      <c r="A57" s="664"/>
      <c r="B57" s="639"/>
      <c r="C57" s="642"/>
      <c r="D57" s="654"/>
      <c r="E57" s="654"/>
      <c r="F57" s="654"/>
      <c r="G57" s="540" t="s">
        <v>298</v>
      </c>
      <c r="H57" s="337" t="s">
        <v>155</v>
      </c>
      <c r="I57" s="492" t="s">
        <v>299</v>
      </c>
      <c r="J57" s="572"/>
      <c r="K57" s="565"/>
      <c r="L57" s="573"/>
      <c r="M57" s="565"/>
      <c r="N57" s="565"/>
      <c r="O57" s="540" t="s">
        <v>300</v>
      </c>
      <c r="P57" s="73" t="s">
        <v>298</v>
      </c>
      <c r="Q57" s="348" t="s">
        <v>72</v>
      </c>
      <c r="R57" s="332" t="s">
        <v>73</v>
      </c>
      <c r="S57" s="333">
        <f t="shared" si="16"/>
        <v>15</v>
      </c>
      <c r="T57" s="332" t="s">
        <v>73</v>
      </c>
      <c r="U57" s="333">
        <f t="shared" si="17"/>
        <v>15</v>
      </c>
      <c r="V57" s="332" t="s">
        <v>73</v>
      </c>
      <c r="W57" s="333">
        <f t="shared" si="18"/>
        <v>15</v>
      </c>
      <c r="X57" s="332" t="s">
        <v>72</v>
      </c>
      <c r="Y57" s="333">
        <f t="shared" si="19"/>
        <v>15</v>
      </c>
      <c r="Z57" s="332" t="s">
        <v>73</v>
      </c>
      <c r="AA57" s="333">
        <f t="shared" si="20"/>
        <v>15</v>
      </c>
      <c r="AB57" s="332" t="s">
        <v>73</v>
      </c>
      <c r="AC57" s="333">
        <f t="shared" si="21"/>
        <v>15</v>
      </c>
      <c r="AD57" s="332" t="s">
        <v>74</v>
      </c>
      <c r="AE57" s="333">
        <f t="shared" si="22"/>
        <v>10</v>
      </c>
      <c r="AF57" s="334">
        <f t="shared" si="23"/>
        <v>100</v>
      </c>
      <c r="AG57" s="334" t="str">
        <f t="shared" si="24"/>
        <v>Fuerte</v>
      </c>
      <c r="AH57" s="335" t="s">
        <v>75</v>
      </c>
      <c r="AI57" s="334" t="str">
        <f t="shared" si="25"/>
        <v>Fuerte</v>
      </c>
      <c r="AJ57" s="334" t="str">
        <f>IFERROR(VLOOKUP((CONCATENATE(AG57,AI57)),Listados!$U$3:$V$11,2,FALSE),"")</f>
        <v>Fuerte</v>
      </c>
      <c r="AK57" s="334">
        <f t="shared" si="26"/>
        <v>100</v>
      </c>
      <c r="AL57" s="558"/>
      <c r="AM57" s="558"/>
      <c r="AN57" s="558"/>
      <c r="AO57" s="558"/>
      <c r="AP57" s="567"/>
      <c r="AQ57" s="567"/>
      <c r="AR57" s="565"/>
      <c r="AS57" s="565"/>
      <c r="AT57" s="565"/>
      <c r="AU57" s="565"/>
      <c r="AV57" s="496" t="s">
        <v>283</v>
      </c>
      <c r="AW57" s="497" t="s">
        <v>301</v>
      </c>
      <c r="AX57" s="163">
        <v>45658</v>
      </c>
      <c r="AY57" s="163">
        <v>46022</v>
      </c>
      <c r="AZ57" s="498" t="s">
        <v>285</v>
      </c>
      <c r="BA57" s="498" t="s">
        <v>302</v>
      </c>
      <c r="BB57" s="336"/>
      <c r="BC57" s="539" t="s">
        <v>303</v>
      </c>
      <c r="BD57" s="790"/>
      <c r="BE57" s="645"/>
      <c r="BF57" s="770"/>
      <c r="BG57" s="651"/>
    </row>
    <row r="58" spans="1:59" ht="15.75" thickBot="1">
      <c r="A58" s="665"/>
      <c r="B58" s="640"/>
      <c r="C58" s="643"/>
      <c r="D58" s="655"/>
      <c r="E58" s="655"/>
      <c r="F58" s="655"/>
      <c r="G58" s="256"/>
      <c r="H58" s="257"/>
      <c r="I58" s="257"/>
      <c r="J58" s="586"/>
      <c r="K58" s="570"/>
      <c r="L58" s="587"/>
      <c r="M58" s="570"/>
      <c r="N58" s="570"/>
      <c r="O58" s="258"/>
      <c r="P58" s="146"/>
      <c r="Q58" s="269"/>
      <c r="R58" s="260"/>
      <c r="S58" s="261" t="str">
        <f t="shared" si="16"/>
        <v>0</v>
      </c>
      <c r="T58" s="260"/>
      <c r="U58" s="261" t="str">
        <f t="shared" si="17"/>
        <v>0</v>
      </c>
      <c r="V58" s="260"/>
      <c r="W58" s="261" t="str">
        <f t="shared" si="18"/>
        <v>0</v>
      </c>
      <c r="X58" s="260"/>
      <c r="Y58" s="261" t="str">
        <f t="shared" si="19"/>
        <v>0</v>
      </c>
      <c r="Z58" s="260"/>
      <c r="AA58" s="261" t="str">
        <f t="shared" si="20"/>
        <v>0</v>
      </c>
      <c r="AB58" s="260"/>
      <c r="AC58" s="261" t="str">
        <f t="shared" si="21"/>
        <v>0</v>
      </c>
      <c r="AD58" s="260"/>
      <c r="AE58" s="261" t="str">
        <f t="shared" si="22"/>
        <v>0</v>
      </c>
      <c r="AF58" s="262" t="str">
        <f t="shared" si="23"/>
        <v/>
      </c>
      <c r="AG58" s="262" t="str">
        <f t="shared" si="24"/>
        <v/>
      </c>
      <c r="AH58" s="263"/>
      <c r="AI58" s="262" t="str">
        <f t="shared" si="25"/>
        <v/>
      </c>
      <c r="AJ58" s="262" t="str">
        <f>IFERROR(VLOOKUP((CONCATENATE(AG58,AI58)),Listados!$U$3:$V$11,2,FALSE),"")</f>
        <v/>
      </c>
      <c r="AK58" s="262" t="str">
        <f t="shared" si="26"/>
        <v/>
      </c>
      <c r="AL58" s="560"/>
      <c r="AM58" s="560"/>
      <c r="AN58" s="560"/>
      <c r="AO58" s="560"/>
      <c r="AP58" s="568"/>
      <c r="AQ58" s="568"/>
      <c r="AR58" s="570"/>
      <c r="AS58" s="570"/>
      <c r="AT58" s="570"/>
      <c r="AU58" s="570"/>
      <c r="AV58" s="249"/>
      <c r="AW58" s="249"/>
      <c r="AX58" s="250"/>
      <c r="AY58" s="250"/>
      <c r="AZ58" s="249"/>
      <c r="BA58" s="249"/>
      <c r="BB58" s="169"/>
      <c r="BC58" s="166"/>
      <c r="BD58" s="791"/>
      <c r="BE58" s="646"/>
      <c r="BF58" s="771"/>
      <c r="BG58" s="652"/>
    </row>
    <row r="59" spans="1:59" ht="115.5" customHeight="1">
      <c r="A59" s="635">
        <v>13</v>
      </c>
      <c r="B59" s="638" t="s">
        <v>304</v>
      </c>
      <c r="C59" s="682" t="s">
        <v>305</v>
      </c>
      <c r="D59" s="676" t="s">
        <v>306</v>
      </c>
      <c r="E59" s="670" t="s">
        <v>221</v>
      </c>
      <c r="F59" s="670" t="s">
        <v>307</v>
      </c>
      <c r="G59" s="441" t="s">
        <v>308</v>
      </c>
      <c r="H59" s="442" t="s">
        <v>67</v>
      </c>
      <c r="I59" s="443" t="s">
        <v>309</v>
      </c>
      <c r="J59" s="670" t="s">
        <v>180</v>
      </c>
      <c r="K59" s="685">
        <f>+VLOOKUP(J59,Listados!$K$8:$L$12,2,0)</f>
        <v>2</v>
      </c>
      <c r="L59" s="688" t="s">
        <v>89</v>
      </c>
      <c r="M59" s="685">
        <f>+VLOOKUP(L59,Listados!$K$13:$L$17,2,0)</f>
        <v>3</v>
      </c>
      <c r="N59" s="685" t="str">
        <f>IF(AND(J59&lt;&gt;"",L59&lt;&gt;""),VLOOKUP(J59&amp;L59,Listados!$M$3:$N$27,2,FALSE),"")</f>
        <v>Moderado</v>
      </c>
      <c r="O59" s="441" t="s">
        <v>310</v>
      </c>
      <c r="P59" s="444" t="s">
        <v>311</v>
      </c>
      <c r="Q59" s="445" t="s">
        <v>72</v>
      </c>
      <c r="R59" s="446" t="s">
        <v>73</v>
      </c>
      <c r="S59" s="447">
        <f t="shared" si="16"/>
        <v>15</v>
      </c>
      <c r="T59" s="446" t="s">
        <v>73</v>
      </c>
      <c r="U59" s="447">
        <f t="shared" si="17"/>
        <v>15</v>
      </c>
      <c r="V59" s="446" t="s">
        <v>73</v>
      </c>
      <c r="W59" s="447">
        <f t="shared" si="18"/>
        <v>15</v>
      </c>
      <c r="X59" s="446" t="s">
        <v>72</v>
      </c>
      <c r="Y59" s="447">
        <f t="shared" si="19"/>
        <v>15</v>
      </c>
      <c r="Z59" s="446" t="s">
        <v>73</v>
      </c>
      <c r="AA59" s="447">
        <f t="shared" si="20"/>
        <v>15</v>
      </c>
      <c r="AB59" s="446" t="s">
        <v>73</v>
      </c>
      <c r="AC59" s="447">
        <f t="shared" si="21"/>
        <v>15</v>
      </c>
      <c r="AD59" s="446" t="s">
        <v>74</v>
      </c>
      <c r="AE59" s="447">
        <f t="shared" si="22"/>
        <v>10</v>
      </c>
      <c r="AF59" s="448">
        <f t="shared" si="23"/>
        <v>100</v>
      </c>
      <c r="AG59" s="448" t="str">
        <f t="shared" si="24"/>
        <v>Fuerte</v>
      </c>
      <c r="AH59" s="449" t="s">
        <v>75</v>
      </c>
      <c r="AI59" s="448" t="str">
        <f t="shared" si="25"/>
        <v>Fuerte</v>
      </c>
      <c r="AJ59" s="448" t="str">
        <f>IFERROR(VLOOKUP((CONCATENATE(AG59,AI59)),Listados!$U$3:$V$11,2,FALSE),"")</f>
        <v>Fuerte</v>
      </c>
      <c r="AK59" s="448">
        <f t="shared" si="26"/>
        <v>100</v>
      </c>
      <c r="AL59" s="588">
        <f t="shared" ref="AL59" si="102">AVERAGE(AK59:AK62)</f>
        <v>100</v>
      </c>
      <c r="AM59" s="588" t="str">
        <f t="shared" ref="AM59" si="103">IF(AL59&lt;=50,"Débil",IF(AL59&lt;=99,"Moderado",IF(AL59=100,"fuerte","")))</f>
        <v>fuerte</v>
      </c>
      <c r="AN59" s="559">
        <f t="shared" ref="AN59" si="104">+IF(AND(Q59="Preventivo",AM59="Fuerte"),2,IF(AND(Q59="Preventivo",AM59="Moderado"),1,0))</f>
        <v>2</v>
      </c>
      <c r="AO59" s="559">
        <f t="shared" ref="AO59" si="105">+IF(AND(Q59="Detectivo",$AM59="Fuerte"),2,IF(AND(Q59="Detectivo",$AM59="Moderado"),1,IF(AND(Q59="Preventivo",$AM59="Fuerte"),1,0)))</f>
        <v>1</v>
      </c>
      <c r="AP59" s="566">
        <f t="shared" ref="AP59" si="106">+K59-AN59</f>
        <v>0</v>
      </c>
      <c r="AQ59" s="566">
        <f t="shared" ref="AQ59" si="107">+M59-AO59</f>
        <v>2</v>
      </c>
      <c r="AR59" s="569" t="str">
        <f>+VLOOKUP(MIN(AP59),Listados!$J$18:$K$24,2,TRUE)</f>
        <v>Rara Vez</v>
      </c>
      <c r="AS59" s="569" t="str">
        <f>+VLOOKUP(MIN(AQ59),Listados!$J$26:$K$32,2,TRUE)</f>
        <v>Menor</v>
      </c>
      <c r="AT59" s="569" t="str">
        <f>IF(AND(AR59&lt;&gt;"",AS59&lt;&gt;""),VLOOKUP(AR59&amp;AS59,Listados!$M$3:$N$27,2,FALSE),"")</f>
        <v>Bajo</v>
      </c>
      <c r="AU59" s="569" t="str">
        <f>+VLOOKUP(AT59,Listados!$P$3:$Q$6,2,FALSE)</f>
        <v>Asumir el riesgo</v>
      </c>
      <c r="AV59" s="120" t="s">
        <v>312</v>
      </c>
      <c r="AW59" s="120" t="s">
        <v>313</v>
      </c>
      <c r="AX59" s="163">
        <v>45658</v>
      </c>
      <c r="AY59" s="163">
        <v>46022</v>
      </c>
      <c r="AZ59" s="120" t="s">
        <v>314</v>
      </c>
      <c r="BA59" s="120" t="s">
        <v>315</v>
      </c>
      <c r="BB59" s="818" t="s">
        <v>316</v>
      </c>
      <c r="BC59" s="805" t="s">
        <v>317</v>
      </c>
      <c r="BD59" s="821"/>
      <c r="BE59" s="772" t="s">
        <v>318</v>
      </c>
      <c r="BF59" s="775" t="s">
        <v>1611</v>
      </c>
      <c r="BG59" s="650"/>
    </row>
    <row r="60" spans="1:59" ht="102" customHeight="1">
      <c r="A60" s="636"/>
      <c r="B60" s="639"/>
      <c r="C60" s="683"/>
      <c r="D60" s="677"/>
      <c r="E60" s="671"/>
      <c r="F60" s="671"/>
      <c r="G60" s="450" t="s">
        <v>319</v>
      </c>
      <c r="H60" s="451" t="s">
        <v>67</v>
      </c>
      <c r="I60" s="452" t="s">
        <v>320</v>
      </c>
      <c r="J60" s="671"/>
      <c r="K60" s="686"/>
      <c r="L60" s="689"/>
      <c r="M60" s="686"/>
      <c r="N60" s="686"/>
      <c r="O60" s="450" t="s">
        <v>321</v>
      </c>
      <c r="P60" s="453" t="s">
        <v>322</v>
      </c>
      <c r="Q60" s="454" t="s">
        <v>72</v>
      </c>
      <c r="R60" s="382" t="s">
        <v>73</v>
      </c>
      <c r="S60" s="379">
        <f t="shared" si="16"/>
        <v>15</v>
      </c>
      <c r="T60" s="382" t="s">
        <v>73</v>
      </c>
      <c r="U60" s="379">
        <f t="shared" si="17"/>
        <v>15</v>
      </c>
      <c r="V60" s="382" t="s">
        <v>73</v>
      </c>
      <c r="W60" s="379">
        <f t="shared" si="18"/>
        <v>15</v>
      </c>
      <c r="X60" s="382" t="s">
        <v>72</v>
      </c>
      <c r="Y60" s="379">
        <f t="shared" si="19"/>
        <v>15</v>
      </c>
      <c r="Z60" s="382" t="s">
        <v>73</v>
      </c>
      <c r="AA60" s="379">
        <f t="shared" si="20"/>
        <v>15</v>
      </c>
      <c r="AB60" s="382" t="s">
        <v>73</v>
      </c>
      <c r="AC60" s="379">
        <f t="shared" si="21"/>
        <v>15</v>
      </c>
      <c r="AD60" s="382" t="s">
        <v>74</v>
      </c>
      <c r="AE60" s="379">
        <f t="shared" si="22"/>
        <v>10</v>
      </c>
      <c r="AF60" s="406">
        <f t="shared" si="23"/>
        <v>100</v>
      </c>
      <c r="AG60" s="406" t="str">
        <f t="shared" si="24"/>
        <v>Fuerte</v>
      </c>
      <c r="AH60" s="455" t="s">
        <v>75</v>
      </c>
      <c r="AI60" s="406" t="str">
        <f t="shared" si="25"/>
        <v>Fuerte</v>
      </c>
      <c r="AJ60" s="406" t="str">
        <f>IFERROR(VLOOKUP((CONCATENATE(AG60,AI60)),Listados!$U$3:$V$11,2,FALSE),"")</f>
        <v>Fuerte</v>
      </c>
      <c r="AK60" s="406">
        <f t="shared" si="26"/>
        <v>100</v>
      </c>
      <c r="AL60" s="589"/>
      <c r="AM60" s="589"/>
      <c r="AN60" s="558"/>
      <c r="AO60" s="558"/>
      <c r="AP60" s="567"/>
      <c r="AQ60" s="567"/>
      <c r="AR60" s="565"/>
      <c r="AS60" s="565"/>
      <c r="AT60" s="565"/>
      <c r="AU60" s="565"/>
      <c r="AV60" s="336"/>
      <c r="AW60" s="336"/>
      <c r="AX60" s="336"/>
      <c r="AY60" s="336"/>
      <c r="AZ60" s="336"/>
      <c r="BA60" s="336"/>
      <c r="BB60" s="819"/>
      <c r="BC60" s="806"/>
      <c r="BD60" s="822"/>
      <c r="BE60" s="773"/>
      <c r="BF60" s="767"/>
      <c r="BG60" s="651"/>
    </row>
    <row r="61" spans="1:59" ht="27.75" customHeight="1">
      <c r="A61" s="636"/>
      <c r="B61" s="639"/>
      <c r="C61" s="683"/>
      <c r="D61" s="677"/>
      <c r="E61" s="671"/>
      <c r="F61" s="671"/>
      <c r="G61" s="456"/>
      <c r="H61" s="451"/>
      <c r="I61" s="451"/>
      <c r="J61" s="671"/>
      <c r="K61" s="686"/>
      <c r="L61" s="689"/>
      <c r="M61" s="686"/>
      <c r="N61" s="686"/>
      <c r="O61" s="457"/>
      <c r="P61" s="453"/>
      <c r="Q61" s="411"/>
      <c r="R61" s="382"/>
      <c r="S61" s="379" t="str">
        <f t="shared" si="16"/>
        <v>0</v>
      </c>
      <c r="T61" s="382"/>
      <c r="U61" s="379" t="str">
        <f t="shared" si="17"/>
        <v>0</v>
      </c>
      <c r="V61" s="382"/>
      <c r="W61" s="379" t="str">
        <f t="shared" si="18"/>
        <v>0</v>
      </c>
      <c r="X61" s="382"/>
      <c r="Y61" s="379" t="str">
        <f t="shared" si="19"/>
        <v>0</v>
      </c>
      <c r="Z61" s="382"/>
      <c r="AA61" s="379" t="str">
        <f t="shared" si="20"/>
        <v>0</v>
      </c>
      <c r="AB61" s="382"/>
      <c r="AC61" s="379" t="str">
        <f t="shared" si="21"/>
        <v>0</v>
      </c>
      <c r="AD61" s="382"/>
      <c r="AE61" s="379" t="str">
        <f t="shared" si="22"/>
        <v>0</v>
      </c>
      <c r="AF61" s="406" t="str">
        <f t="shared" si="23"/>
        <v/>
      </c>
      <c r="AG61" s="406" t="str">
        <f t="shared" si="24"/>
        <v/>
      </c>
      <c r="AH61" s="455"/>
      <c r="AI61" s="406" t="str">
        <f t="shared" si="25"/>
        <v/>
      </c>
      <c r="AJ61" s="406" t="str">
        <f>IFERROR(VLOOKUP((CONCATENATE(AG61,AI61)),Listados!$U$3:$V$11,2,FALSE),"")</f>
        <v/>
      </c>
      <c r="AK61" s="406" t="str">
        <f t="shared" si="26"/>
        <v/>
      </c>
      <c r="AL61" s="589"/>
      <c r="AM61" s="589"/>
      <c r="AN61" s="558"/>
      <c r="AO61" s="558"/>
      <c r="AP61" s="567"/>
      <c r="AQ61" s="567"/>
      <c r="AR61" s="565"/>
      <c r="AS61" s="565"/>
      <c r="AT61" s="565"/>
      <c r="AU61" s="565"/>
      <c r="AV61" s="336"/>
      <c r="AW61" s="336"/>
      <c r="AX61" s="339"/>
      <c r="AY61" s="339"/>
      <c r="AZ61" s="336"/>
      <c r="BA61" s="336"/>
      <c r="BB61" s="819"/>
      <c r="BC61" s="806"/>
      <c r="BD61" s="822"/>
      <c r="BE61" s="773"/>
      <c r="BF61" s="767"/>
      <c r="BG61" s="651"/>
    </row>
    <row r="62" spans="1:59" ht="26.25" customHeight="1" thickBot="1">
      <c r="A62" s="637"/>
      <c r="B62" s="640"/>
      <c r="C62" s="684"/>
      <c r="D62" s="678"/>
      <c r="E62" s="672"/>
      <c r="F62" s="672"/>
      <c r="G62" s="458"/>
      <c r="H62" s="459"/>
      <c r="I62" s="459"/>
      <c r="J62" s="672"/>
      <c r="K62" s="687"/>
      <c r="L62" s="690"/>
      <c r="M62" s="687"/>
      <c r="N62" s="687"/>
      <c r="O62" s="460"/>
      <c r="P62" s="461"/>
      <c r="Q62" s="462"/>
      <c r="R62" s="327"/>
      <c r="S62" s="326" t="str">
        <f t="shared" si="16"/>
        <v>0</v>
      </c>
      <c r="T62" s="327"/>
      <c r="U62" s="326" t="str">
        <f t="shared" si="17"/>
        <v>0</v>
      </c>
      <c r="V62" s="327"/>
      <c r="W62" s="326" t="str">
        <f t="shared" si="18"/>
        <v>0</v>
      </c>
      <c r="X62" s="327"/>
      <c r="Y62" s="326" t="str">
        <f t="shared" si="19"/>
        <v>0</v>
      </c>
      <c r="Z62" s="327"/>
      <c r="AA62" s="326" t="str">
        <f t="shared" si="20"/>
        <v>0</v>
      </c>
      <c r="AB62" s="327"/>
      <c r="AC62" s="326" t="str">
        <f t="shared" si="21"/>
        <v>0</v>
      </c>
      <c r="AD62" s="327"/>
      <c r="AE62" s="326" t="str">
        <f t="shared" si="22"/>
        <v>0</v>
      </c>
      <c r="AF62" s="304" t="str">
        <f t="shared" si="23"/>
        <v/>
      </c>
      <c r="AG62" s="304" t="str">
        <f t="shared" si="24"/>
        <v/>
      </c>
      <c r="AH62" s="463"/>
      <c r="AI62" s="304" t="str">
        <f t="shared" si="25"/>
        <v/>
      </c>
      <c r="AJ62" s="304" t="str">
        <f>IFERROR(VLOOKUP((CONCATENATE(AG62,AI62)),Listados!$U$3:$V$11,2,FALSE),"")</f>
        <v/>
      </c>
      <c r="AK62" s="304" t="str">
        <f t="shared" si="26"/>
        <v/>
      </c>
      <c r="AL62" s="590"/>
      <c r="AM62" s="590"/>
      <c r="AN62" s="560"/>
      <c r="AO62" s="560"/>
      <c r="AP62" s="568"/>
      <c r="AQ62" s="568"/>
      <c r="AR62" s="570"/>
      <c r="AS62" s="570"/>
      <c r="AT62" s="570"/>
      <c r="AU62" s="570"/>
      <c r="AV62" s="249"/>
      <c r="AW62" s="249"/>
      <c r="AX62" s="250"/>
      <c r="AY62" s="250"/>
      <c r="AZ62" s="249"/>
      <c r="BA62" s="249"/>
      <c r="BB62" s="820"/>
      <c r="BC62" s="807"/>
      <c r="BD62" s="823"/>
      <c r="BE62" s="774"/>
      <c r="BF62" s="776"/>
      <c r="BG62" s="652"/>
    </row>
    <row r="63" spans="1:59" ht="129.75" customHeight="1">
      <c r="A63" s="635">
        <v>14</v>
      </c>
      <c r="B63" s="638" t="s">
        <v>304</v>
      </c>
      <c r="C63" s="673" t="s">
        <v>305</v>
      </c>
      <c r="D63" s="676" t="s">
        <v>323</v>
      </c>
      <c r="E63" s="670" t="s">
        <v>221</v>
      </c>
      <c r="F63" s="670" t="s">
        <v>307</v>
      </c>
      <c r="G63" s="466" t="s">
        <v>324</v>
      </c>
      <c r="H63" s="464" t="s">
        <v>67</v>
      </c>
      <c r="I63" s="465" t="s">
        <v>325</v>
      </c>
      <c r="J63" s="670" t="s">
        <v>180</v>
      </c>
      <c r="K63" s="685">
        <f>+VLOOKUP(J63,Listados!$K$8:$L$12,2,0)</f>
        <v>2</v>
      </c>
      <c r="L63" s="688" t="s">
        <v>326</v>
      </c>
      <c r="M63" s="685">
        <f>+VLOOKUP(L63,Listados!$K$13:$L$17,2,0)</f>
        <v>4</v>
      </c>
      <c r="N63" s="685" t="str">
        <f>IF(AND(J63&lt;&gt;"",L63&lt;&gt;""),VLOOKUP(J63&amp;L63,Listados!$M$3:$N$27,2,FALSE),"")</f>
        <v>Alto</v>
      </c>
      <c r="O63" s="466" t="s">
        <v>327</v>
      </c>
      <c r="P63" s="444" t="s">
        <v>328</v>
      </c>
      <c r="Q63" s="445" t="s">
        <v>72</v>
      </c>
      <c r="R63" s="446" t="s">
        <v>73</v>
      </c>
      <c r="S63" s="447">
        <f t="shared" si="16"/>
        <v>15</v>
      </c>
      <c r="T63" s="446" t="s">
        <v>73</v>
      </c>
      <c r="U63" s="447">
        <f t="shared" si="17"/>
        <v>15</v>
      </c>
      <c r="V63" s="446" t="s">
        <v>73</v>
      </c>
      <c r="W63" s="447">
        <f t="shared" si="18"/>
        <v>15</v>
      </c>
      <c r="X63" s="446" t="s">
        <v>72</v>
      </c>
      <c r="Y63" s="447">
        <f t="shared" si="19"/>
        <v>15</v>
      </c>
      <c r="Z63" s="446" t="s">
        <v>73</v>
      </c>
      <c r="AA63" s="447">
        <f t="shared" si="20"/>
        <v>15</v>
      </c>
      <c r="AB63" s="446" t="s">
        <v>73</v>
      </c>
      <c r="AC63" s="447">
        <f t="shared" si="21"/>
        <v>15</v>
      </c>
      <c r="AD63" s="446" t="s">
        <v>74</v>
      </c>
      <c r="AE63" s="447">
        <f t="shared" si="22"/>
        <v>10</v>
      </c>
      <c r="AF63" s="448">
        <f t="shared" si="23"/>
        <v>100</v>
      </c>
      <c r="AG63" s="448" t="str">
        <f t="shared" si="24"/>
        <v>Fuerte</v>
      </c>
      <c r="AH63" s="449" t="s">
        <v>75</v>
      </c>
      <c r="AI63" s="448" t="str">
        <f t="shared" si="25"/>
        <v>Fuerte</v>
      </c>
      <c r="AJ63" s="448" t="str">
        <f>IFERROR(VLOOKUP((CONCATENATE(AG63,AI63)),Listados!$U$3:$V$11,2,FALSE),"")</f>
        <v>Fuerte</v>
      </c>
      <c r="AK63" s="448">
        <f t="shared" si="26"/>
        <v>100</v>
      </c>
      <c r="AL63" s="679">
        <f t="shared" ref="AL63" si="108">AVERAGE(AK63:AK66)</f>
        <v>66.666666666666671</v>
      </c>
      <c r="AM63" s="588" t="str">
        <f t="shared" ref="AM63" si="109">IF(AL63&lt;=50,"Débil",IF(AL63&lt;=99,"Moderado",IF(AL63=100,"fuerte","")))</f>
        <v>Moderado</v>
      </c>
      <c r="AN63" s="559">
        <f t="shared" ref="AN63" si="110">+IF(AND(Q63="Preventivo",AM63="Fuerte"),2,IF(AND(Q63="Preventivo",AM63="Moderado"),1,0))</f>
        <v>1</v>
      </c>
      <c r="AO63" s="559">
        <f t="shared" ref="AO63" si="111">+IF(AND(Q63="Detectivo",$AM63="Fuerte"),2,IF(AND(Q63="Detectivo",$AM63="Moderado"),1,IF(AND(Q63="Preventivo",$AM63="Fuerte"),1,0)))</f>
        <v>0</v>
      </c>
      <c r="AP63" s="566">
        <f t="shared" ref="AP63" si="112">+K63-AN63</f>
        <v>1</v>
      </c>
      <c r="AQ63" s="566">
        <f t="shared" ref="AQ63" si="113">+M63-AO63</f>
        <v>4</v>
      </c>
      <c r="AR63" s="569" t="str">
        <f>+VLOOKUP(MIN(AP63),Listados!$J$18:$K$24,2,TRUE)</f>
        <v>Rara Vez</v>
      </c>
      <c r="AS63" s="569" t="str">
        <f>+VLOOKUP(MIN(AQ63),Listados!$J$26:$K$32,2,TRUE)</f>
        <v>Mayor</v>
      </c>
      <c r="AT63" s="569" t="str">
        <f>IF(AND(AR63&lt;&gt;"",AS63&lt;&gt;""),VLOOKUP(AR63&amp;AS63,Listados!$M$3:$N$27,2,FALSE),"")</f>
        <v>Alto</v>
      </c>
      <c r="AU63" s="569" t="str">
        <f>+VLOOKUP(AT63,Listados!$P$3:$Q$6,2,FALSE)</f>
        <v>Reducir el riesgo</v>
      </c>
      <c r="AV63" s="120" t="s">
        <v>329</v>
      </c>
      <c r="AW63" s="120" t="s">
        <v>330</v>
      </c>
      <c r="AX63" s="122">
        <v>45658</v>
      </c>
      <c r="AY63" s="123">
        <v>46022</v>
      </c>
      <c r="AZ63" s="121" t="s">
        <v>314</v>
      </c>
      <c r="BA63" s="121" t="s">
        <v>315</v>
      </c>
      <c r="BB63" s="818" t="s">
        <v>331</v>
      </c>
      <c r="BC63" s="805" t="s">
        <v>332</v>
      </c>
      <c r="BD63" s="821"/>
      <c r="BE63" s="772" t="s">
        <v>333</v>
      </c>
      <c r="BF63" s="775" t="s">
        <v>1612</v>
      </c>
      <c r="BG63" s="650"/>
    </row>
    <row r="64" spans="1:59" ht="103.5" customHeight="1">
      <c r="A64" s="636"/>
      <c r="B64" s="639"/>
      <c r="C64" s="674"/>
      <c r="D64" s="677"/>
      <c r="E64" s="671"/>
      <c r="F64" s="671"/>
      <c r="G64" s="469" t="s">
        <v>334</v>
      </c>
      <c r="H64" s="467" t="s">
        <v>67</v>
      </c>
      <c r="I64" s="468" t="s">
        <v>335</v>
      </c>
      <c r="J64" s="671"/>
      <c r="K64" s="686"/>
      <c r="L64" s="689"/>
      <c r="M64" s="686"/>
      <c r="N64" s="686"/>
      <c r="O64" s="469" t="s">
        <v>336</v>
      </c>
      <c r="P64" s="453" t="s">
        <v>337</v>
      </c>
      <c r="Q64" s="454" t="s">
        <v>83</v>
      </c>
      <c r="R64" s="382" t="s">
        <v>73</v>
      </c>
      <c r="S64" s="379">
        <f t="shared" si="16"/>
        <v>15</v>
      </c>
      <c r="T64" s="382" t="s">
        <v>73</v>
      </c>
      <c r="U64" s="379">
        <f t="shared" si="17"/>
        <v>15</v>
      </c>
      <c r="V64" s="382" t="s">
        <v>73</v>
      </c>
      <c r="W64" s="379">
        <f t="shared" si="18"/>
        <v>15</v>
      </c>
      <c r="X64" s="382" t="s">
        <v>83</v>
      </c>
      <c r="Y64" s="379">
        <f t="shared" si="19"/>
        <v>10</v>
      </c>
      <c r="Z64" s="382" t="s">
        <v>73</v>
      </c>
      <c r="AA64" s="379">
        <f t="shared" si="20"/>
        <v>15</v>
      </c>
      <c r="AB64" s="382" t="s">
        <v>73</v>
      </c>
      <c r="AC64" s="379">
        <f t="shared" si="21"/>
        <v>15</v>
      </c>
      <c r="AD64" s="382" t="s">
        <v>74</v>
      </c>
      <c r="AE64" s="379">
        <f t="shared" si="22"/>
        <v>10</v>
      </c>
      <c r="AF64" s="406">
        <f t="shared" si="23"/>
        <v>95</v>
      </c>
      <c r="AG64" s="406" t="str">
        <f t="shared" si="24"/>
        <v>Moderado</v>
      </c>
      <c r="AH64" s="455" t="s">
        <v>75</v>
      </c>
      <c r="AI64" s="406" t="str">
        <f t="shared" si="25"/>
        <v>Fuerte</v>
      </c>
      <c r="AJ64" s="406" t="str">
        <f>IFERROR(VLOOKUP((CONCATENATE(AG64,AI64)),Listados!$U$3:$V$11,2,FALSE),"")</f>
        <v>Moderado</v>
      </c>
      <c r="AK64" s="406">
        <f t="shared" si="26"/>
        <v>50</v>
      </c>
      <c r="AL64" s="680"/>
      <c r="AM64" s="589"/>
      <c r="AN64" s="558"/>
      <c r="AO64" s="558"/>
      <c r="AP64" s="567"/>
      <c r="AQ64" s="567"/>
      <c r="AR64" s="565"/>
      <c r="AS64" s="565"/>
      <c r="AT64" s="565"/>
      <c r="AU64" s="565"/>
      <c r="AV64" s="336"/>
      <c r="AW64" s="336"/>
      <c r="AX64" s="336"/>
      <c r="AY64" s="336"/>
      <c r="AZ64" s="336"/>
      <c r="BA64" s="336"/>
      <c r="BB64" s="819"/>
      <c r="BC64" s="806"/>
      <c r="BD64" s="822"/>
      <c r="BE64" s="773"/>
      <c r="BF64" s="768"/>
      <c r="BG64" s="651"/>
    </row>
    <row r="65" spans="1:59" ht="147.75" customHeight="1">
      <c r="A65" s="636"/>
      <c r="B65" s="639"/>
      <c r="C65" s="674"/>
      <c r="D65" s="677"/>
      <c r="E65" s="671"/>
      <c r="F65" s="671"/>
      <c r="G65" s="456"/>
      <c r="H65" s="451"/>
      <c r="I65" s="451"/>
      <c r="J65" s="671"/>
      <c r="K65" s="686"/>
      <c r="L65" s="689"/>
      <c r="M65" s="686"/>
      <c r="N65" s="686"/>
      <c r="O65" s="469" t="s">
        <v>338</v>
      </c>
      <c r="P65" s="453" t="s">
        <v>328</v>
      </c>
      <c r="Q65" s="382" t="s">
        <v>83</v>
      </c>
      <c r="R65" s="382" t="s">
        <v>73</v>
      </c>
      <c r="S65" s="379">
        <f t="shared" si="16"/>
        <v>15</v>
      </c>
      <c r="T65" s="382" t="s">
        <v>73</v>
      </c>
      <c r="U65" s="379">
        <f t="shared" si="17"/>
        <v>15</v>
      </c>
      <c r="V65" s="382" t="s">
        <v>73</v>
      </c>
      <c r="W65" s="379">
        <f t="shared" si="18"/>
        <v>15</v>
      </c>
      <c r="X65" s="382" t="s">
        <v>83</v>
      </c>
      <c r="Y65" s="379">
        <f t="shared" si="19"/>
        <v>10</v>
      </c>
      <c r="Z65" s="382" t="s">
        <v>73</v>
      </c>
      <c r="AA65" s="379">
        <f t="shared" si="20"/>
        <v>15</v>
      </c>
      <c r="AB65" s="382" t="s">
        <v>73</v>
      </c>
      <c r="AC65" s="379">
        <f t="shared" si="21"/>
        <v>15</v>
      </c>
      <c r="AD65" s="382" t="s">
        <v>74</v>
      </c>
      <c r="AE65" s="379">
        <f t="shared" si="22"/>
        <v>10</v>
      </c>
      <c r="AF65" s="406">
        <f t="shared" si="23"/>
        <v>95</v>
      </c>
      <c r="AG65" s="406" t="str">
        <f t="shared" si="24"/>
        <v>Moderado</v>
      </c>
      <c r="AH65" s="455" t="s">
        <v>75</v>
      </c>
      <c r="AI65" s="406" t="str">
        <f t="shared" si="25"/>
        <v>Fuerte</v>
      </c>
      <c r="AJ65" s="406" t="str">
        <f>IFERROR(VLOOKUP((CONCATENATE(AG65,AI65)),Listados!$U$3:$V$11,2,FALSE),"")</f>
        <v>Moderado</v>
      </c>
      <c r="AK65" s="406">
        <f t="shared" si="26"/>
        <v>50</v>
      </c>
      <c r="AL65" s="680"/>
      <c r="AM65" s="589"/>
      <c r="AN65" s="558"/>
      <c r="AO65" s="558"/>
      <c r="AP65" s="567"/>
      <c r="AQ65" s="567"/>
      <c r="AR65" s="565"/>
      <c r="AS65" s="565"/>
      <c r="AT65" s="565"/>
      <c r="AU65" s="565"/>
      <c r="AV65" s="336"/>
      <c r="AW65" s="336"/>
      <c r="AX65" s="339"/>
      <c r="AY65" s="339"/>
      <c r="AZ65" s="336"/>
      <c r="BA65" s="336"/>
      <c r="BB65" s="819"/>
      <c r="BC65" s="806"/>
      <c r="BD65" s="822"/>
      <c r="BE65" s="773"/>
      <c r="BF65" s="768"/>
      <c r="BG65" s="651"/>
    </row>
    <row r="66" spans="1:59" ht="19.5" customHeight="1" thickBot="1">
      <c r="A66" s="637"/>
      <c r="B66" s="640"/>
      <c r="C66" s="675"/>
      <c r="D66" s="678"/>
      <c r="E66" s="672"/>
      <c r="F66" s="672"/>
      <c r="G66" s="458"/>
      <c r="H66" s="459"/>
      <c r="I66" s="459"/>
      <c r="J66" s="672"/>
      <c r="K66" s="687"/>
      <c r="L66" s="690"/>
      <c r="M66" s="687"/>
      <c r="N66" s="687"/>
      <c r="O66" s="460"/>
      <c r="P66" s="470"/>
      <c r="Q66" s="462"/>
      <c r="R66" s="327"/>
      <c r="S66" s="326" t="str">
        <f t="shared" si="16"/>
        <v>0</v>
      </c>
      <c r="T66" s="327"/>
      <c r="U66" s="326" t="str">
        <f t="shared" si="17"/>
        <v>0</v>
      </c>
      <c r="V66" s="327"/>
      <c r="W66" s="326" t="str">
        <f t="shared" si="18"/>
        <v>0</v>
      </c>
      <c r="X66" s="327"/>
      <c r="Y66" s="326" t="str">
        <f t="shared" si="19"/>
        <v>0</v>
      </c>
      <c r="Z66" s="327"/>
      <c r="AA66" s="326" t="str">
        <f t="shared" si="20"/>
        <v>0</v>
      </c>
      <c r="AB66" s="327"/>
      <c r="AC66" s="326" t="str">
        <f t="shared" si="21"/>
        <v>0</v>
      </c>
      <c r="AD66" s="327"/>
      <c r="AE66" s="326" t="str">
        <f t="shared" si="22"/>
        <v>0</v>
      </c>
      <c r="AF66" s="304" t="str">
        <f t="shared" si="23"/>
        <v/>
      </c>
      <c r="AG66" s="304" t="str">
        <f t="shared" si="24"/>
        <v/>
      </c>
      <c r="AH66" s="463"/>
      <c r="AI66" s="304" t="str">
        <f t="shared" si="25"/>
        <v/>
      </c>
      <c r="AJ66" s="304" t="str">
        <f>IFERROR(VLOOKUP((CONCATENATE(AG66,AI66)),Listados!$U$3:$V$11,2,FALSE),"")</f>
        <v/>
      </c>
      <c r="AK66" s="304" t="str">
        <f t="shared" si="26"/>
        <v/>
      </c>
      <c r="AL66" s="681"/>
      <c r="AM66" s="590"/>
      <c r="AN66" s="560"/>
      <c r="AO66" s="560"/>
      <c r="AP66" s="568"/>
      <c r="AQ66" s="568"/>
      <c r="AR66" s="570"/>
      <c r="AS66" s="570"/>
      <c r="AT66" s="570"/>
      <c r="AU66" s="570"/>
      <c r="AV66" s="249"/>
      <c r="AW66" s="249"/>
      <c r="AX66" s="250"/>
      <c r="AY66" s="250"/>
      <c r="AZ66" s="249"/>
      <c r="BA66" s="249"/>
      <c r="BB66" s="820"/>
      <c r="BC66" s="807"/>
      <c r="BD66" s="823"/>
      <c r="BE66" s="774"/>
      <c r="BF66" s="769"/>
      <c r="BG66" s="652"/>
    </row>
    <row r="67" spans="1:59" ht="184.5" customHeight="1">
      <c r="A67" s="635">
        <v>15</v>
      </c>
      <c r="B67" s="638" t="s">
        <v>304</v>
      </c>
      <c r="C67" s="682" t="s">
        <v>305</v>
      </c>
      <c r="D67" s="676" t="s">
        <v>339</v>
      </c>
      <c r="E67" s="670" t="s">
        <v>278</v>
      </c>
      <c r="F67" s="670" t="s">
        <v>307</v>
      </c>
      <c r="G67" s="441" t="s">
        <v>340</v>
      </c>
      <c r="H67" s="91" t="s">
        <v>67</v>
      </c>
      <c r="I67" s="92" t="s">
        <v>341</v>
      </c>
      <c r="J67" s="584" t="s">
        <v>180</v>
      </c>
      <c r="K67" s="569">
        <f>+VLOOKUP(J67,Listados!$K$8:$L$12,2,0)</f>
        <v>2</v>
      </c>
      <c r="L67" s="585" t="s">
        <v>89</v>
      </c>
      <c r="M67" s="569">
        <f>+VLOOKUP(L67,Listados!$K$13:$L$17,2,0)</f>
        <v>3</v>
      </c>
      <c r="N67" s="569" t="str">
        <f>IF(AND(J67&lt;&gt;"",L67&lt;&gt;""),VLOOKUP(J67&amp;L67,Listados!$M$3:$N$27,2,FALSE),"")</f>
        <v>Moderado</v>
      </c>
      <c r="O67" s="466" t="s">
        <v>342</v>
      </c>
      <c r="P67" s="471" t="s">
        <v>340</v>
      </c>
      <c r="Q67" s="130" t="s">
        <v>72</v>
      </c>
      <c r="R67" s="94" t="s">
        <v>73</v>
      </c>
      <c r="S67" s="93">
        <f t="shared" si="16"/>
        <v>15</v>
      </c>
      <c r="T67" s="94" t="s">
        <v>73</v>
      </c>
      <c r="U67" s="93">
        <f t="shared" si="17"/>
        <v>15</v>
      </c>
      <c r="V67" s="94" t="s">
        <v>73</v>
      </c>
      <c r="W67" s="93">
        <f t="shared" si="18"/>
        <v>15</v>
      </c>
      <c r="X67" s="94" t="s">
        <v>72</v>
      </c>
      <c r="Y67" s="93">
        <f t="shared" si="19"/>
        <v>15</v>
      </c>
      <c r="Z67" s="94" t="s">
        <v>73</v>
      </c>
      <c r="AA67" s="93">
        <f t="shared" si="20"/>
        <v>15</v>
      </c>
      <c r="AB67" s="94" t="s">
        <v>73</v>
      </c>
      <c r="AC67" s="93">
        <f t="shared" si="21"/>
        <v>15</v>
      </c>
      <c r="AD67" s="94" t="s">
        <v>74</v>
      </c>
      <c r="AE67" s="93">
        <f t="shared" si="22"/>
        <v>10</v>
      </c>
      <c r="AF67" s="96">
        <f t="shared" si="23"/>
        <v>100</v>
      </c>
      <c r="AG67" s="96" t="str">
        <f t="shared" si="24"/>
        <v>Fuerte</v>
      </c>
      <c r="AH67" s="107" t="s">
        <v>75</v>
      </c>
      <c r="AI67" s="96" t="str">
        <f t="shared" si="25"/>
        <v>Fuerte</v>
      </c>
      <c r="AJ67" s="96" t="str">
        <f>IFERROR(VLOOKUP((CONCATENATE(AG67,AI67)),Listados!$U$3:$V$11,2,FALSE),"")</f>
        <v>Fuerte</v>
      </c>
      <c r="AK67" s="96">
        <f t="shared" si="26"/>
        <v>100</v>
      </c>
      <c r="AL67" s="559">
        <f t="shared" ref="AL67" si="114">AVERAGE(AK67:AK70)</f>
        <v>100</v>
      </c>
      <c r="AM67" s="559" t="str">
        <f t="shared" ref="AM67" si="115">IF(AL67&lt;=50,"Débil",IF(AL67&lt;=99,"Moderado",IF(AL67=100,"fuerte","")))</f>
        <v>fuerte</v>
      </c>
      <c r="AN67" s="559">
        <f t="shared" ref="AN67" si="116">+IF(AND(Q67="Preventivo",AM67="Fuerte"),2,IF(AND(Q67="Preventivo",AM67="Moderado"),1,0))</f>
        <v>2</v>
      </c>
      <c r="AO67" s="559">
        <f t="shared" ref="AO67" si="117">+IF(AND(Q67="Detectivo",$AM67="Fuerte"),2,IF(AND(Q67="Detectivo",$AM67="Moderado"),1,IF(AND(Q67="Preventivo",$AM67="Fuerte"),1,0)))</f>
        <v>1</v>
      </c>
      <c r="AP67" s="566">
        <f t="shared" ref="AP67" si="118">+K67-AN67</f>
        <v>0</v>
      </c>
      <c r="AQ67" s="566">
        <f t="shared" ref="AQ67" si="119">+M67-AO67</f>
        <v>2</v>
      </c>
      <c r="AR67" s="569" t="str">
        <f>+VLOOKUP(MIN(AP67),Listados!$J$18:$K$24,2,TRUE)</f>
        <v>Rara Vez</v>
      </c>
      <c r="AS67" s="569" t="str">
        <f>+VLOOKUP(MIN(AQ67),Listados!$J$26:$K$32,2,TRUE)</f>
        <v>Menor</v>
      </c>
      <c r="AT67" s="569" t="str">
        <f>IF(AND(AR67&lt;&gt;"",AS67&lt;&gt;""),VLOOKUP(AR67&amp;AS67,Listados!$M$3:$N$27,2,FALSE),"")</f>
        <v>Bajo</v>
      </c>
      <c r="AU67" s="569" t="str">
        <f>+VLOOKUP(AT67,Listados!$P$3:$Q$6,2,FALSE)</f>
        <v>Asumir el riesgo</v>
      </c>
      <c r="AV67" s="120" t="s">
        <v>343</v>
      </c>
      <c r="AW67" s="120" t="s">
        <v>344</v>
      </c>
      <c r="AX67" s="122">
        <v>45658</v>
      </c>
      <c r="AY67" s="123">
        <v>46022</v>
      </c>
      <c r="AZ67" s="121" t="s">
        <v>314</v>
      </c>
      <c r="BA67" s="121" t="s">
        <v>315</v>
      </c>
      <c r="BB67" s="805" t="s">
        <v>345</v>
      </c>
      <c r="BC67" s="805" t="s">
        <v>1596</v>
      </c>
      <c r="BD67" s="789"/>
      <c r="BE67" s="781" t="s">
        <v>346</v>
      </c>
      <c r="BF67" s="647" t="s">
        <v>1613</v>
      </c>
      <c r="BG67" s="650"/>
    </row>
    <row r="68" spans="1:59" ht="47.25" customHeight="1">
      <c r="A68" s="636"/>
      <c r="B68" s="639"/>
      <c r="C68" s="683"/>
      <c r="D68" s="677"/>
      <c r="E68" s="671"/>
      <c r="F68" s="671"/>
      <c r="G68" s="456"/>
      <c r="H68" s="85"/>
      <c r="I68" s="337"/>
      <c r="J68" s="572"/>
      <c r="K68" s="565"/>
      <c r="L68" s="573"/>
      <c r="M68" s="565"/>
      <c r="N68" s="565"/>
      <c r="O68" s="354"/>
      <c r="P68" s="330"/>
      <c r="Q68" s="350"/>
      <c r="R68" s="332"/>
      <c r="S68" s="333" t="str">
        <f t="shared" si="16"/>
        <v>0</v>
      </c>
      <c r="T68" s="332"/>
      <c r="U68" s="333" t="str">
        <f t="shared" si="17"/>
        <v>0</v>
      </c>
      <c r="V68" s="332"/>
      <c r="W68" s="333" t="str">
        <f t="shared" si="18"/>
        <v>0</v>
      </c>
      <c r="X68" s="332"/>
      <c r="Y68" s="333" t="str">
        <f t="shared" si="19"/>
        <v>0</v>
      </c>
      <c r="Z68" s="332"/>
      <c r="AA68" s="333" t="str">
        <f t="shared" si="20"/>
        <v>0</v>
      </c>
      <c r="AB68" s="332"/>
      <c r="AC68" s="333" t="str">
        <f t="shared" si="21"/>
        <v>0</v>
      </c>
      <c r="AD68" s="332"/>
      <c r="AE68" s="333" t="str">
        <f t="shared" si="22"/>
        <v>0</v>
      </c>
      <c r="AF68" s="334" t="str">
        <f t="shared" si="23"/>
        <v/>
      </c>
      <c r="AG68" s="334" t="str">
        <f t="shared" si="24"/>
        <v/>
      </c>
      <c r="AH68" s="335"/>
      <c r="AI68" s="334" t="str">
        <f t="shared" si="25"/>
        <v/>
      </c>
      <c r="AJ68" s="334" t="str">
        <f>IFERROR(VLOOKUP((CONCATENATE(AG68,AI68)),Listados!$U$3:$V$11,2,FALSE),"")</f>
        <v/>
      </c>
      <c r="AK68" s="334" t="str">
        <f t="shared" si="26"/>
        <v/>
      </c>
      <c r="AL68" s="558"/>
      <c r="AM68" s="558"/>
      <c r="AN68" s="558"/>
      <c r="AO68" s="558"/>
      <c r="AP68" s="567"/>
      <c r="AQ68" s="567"/>
      <c r="AR68" s="565"/>
      <c r="AS68" s="565"/>
      <c r="AT68" s="565"/>
      <c r="AU68" s="565"/>
      <c r="AV68" s="336"/>
      <c r="AW68" s="336"/>
      <c r="AX68" s="336"/>
      <c r="AY68" s="336"/>
      <c r="AZ68" s="336"/>
      <c r="BA68" s="336"/>
      <c r="BB68" s="806"/>
      <c r="BC68" s="806"/>
      <c r="BD68" s="790"/>
      <c r="BE68" s="782"/>
      <c r="BF68" s="648"/>
      <c r="BG68" s="651"/>
    </row>
    <row r="69" spans="1:59" ht="47.25" customHeight="1">
      <c r="A69" s="636"/>
      <c r="B69" s="639"/>
      <c r="C69" s="683"/>
      <c r="D69" s="677"/>
      <c r="E69" s="671"/>
      <c r="F69" s="671"/>
      <c r="G69" s="456"/>
      <c r="H69" s="85"/>
      <c r="I69" s="337"/>
      <c r="J69" s="572"/>
      <c r="K69" s="565"/>
      <c r="L69" s="573"/>
      <c r="M69" s="565"/>
      <c r="N69" s="565"/>
      <c r="O69" s="347"/>
      <c r="P69" s="338"/>
      <c r="Q69" s="348"/>
      <c r="R69" s="332"/>
      <c r="S69" s="333" t="str">
        <f t="shared" si="16"/>
        <v>0</v>
      </c>
      <c r="T69" s="332"/>
      <c r="U69" s="333" t="str">
        <f t="shared" si="17"/>
        <v>0</v>
      </c>
      <c r="V69" s="332"/>
      <c r="W69" s="333" t="str">
        <f t="shared" si="18"/>
        <v>0</v>
      </c>
      <c r="X69" s="332"/>
      <c r="Y69" s="333" t="str">
        <f t="shared" si="19"/>
        <v>0</v>
      </c>
      <c r="Z69" s="332"/>
      <c r="AA69" s="333" t="str">
        <f t="shared" si="20"/>
        <v>0</v>
      </c>
      <c r="AB69" s="332"/>
      <c r="AC69" s="333" t="str">
        <f t="shared" si="21"/>
        <v>0</v>
      </c>
      <c r="AD69" s="332"/>
      <c r="AE69" s="333" t="str">
        <f t="shared" si="22"/>
        <v>0</v>
      </c>
      <c r="AF69" s="334" t="str">
        <f t="shared" si="23"/>
        <v/>
      </c>
      <c r="AG69" s="334" t="str">
        <f t="shared" si="24"/>
        <v/>
      </c>
      <c r="AH69" s="335"/>
      <c r="AI69" s="334" t="str">
        <f t="shared" si="25"/>
        <v/>
      </c>
      <c r="AJ69" s="334" t="str">
        <f>IFERROR(VLOOKUP((CONCATENATE(AG69,AI69)),Listados!$U$3:$V$11,2,FALSE),"")</f>
        <v/>
      </c>
      <c r="AK69" s="334" t="str">
        <f t="shared" si="26"/>
        <v/>
      </c>
      <c r="AL69" s="558"/>
      <c r="AM69" s="558"/>
      <c r="AN69" s="558"/>
      <c r="AO69" s="558"/>
      <c r="AP69" s="567"/>
      <c r="AQ69" s="567"/>
      <c r="AR69" s="565"/>
      <c r="AS69" s="565"/>
      <c r="AT69" s="565"/>
      <c r="AU69" s="565"/>
      <c r="AV69" s="336"/>
      <c r="AW69" s="336"/>
      <c r="AX69" s="339"/>
      <c r="AY69" s="339"/>
      <c r="AZ69" s="336"/>
      <c r="BA69" s="336"/>
      <c r="BB69" s="806"/>
      <c r="BC69" s="806"/>
      <c r="BD69" s="790"/>
      <c r="BE69" s="782"/>
      <c r="BF69" s="648"/>
      <c r="BG69" s="651"/>
    </row>
    <row r="70" spans="1:59" ht="122.25" customHeight="1">
      <c r="A70" s="637"/>
      <c r="B70" s="640"/>
      <c r="C70" s="684"/>
      <c r="D70" s="678"/>
      <c r="E70" s="672"/>
      <c r="F70" s="672"/>
      <c r="G70" s="458"/>
      <c r="H70" s="100"/>
      <c r="I70" s="257"/>
      <c r="J70" s="586"/>
      <c r="K70" s="570"/>
      <c r="L70" s="587"/>
      <c r="M70" s="570"/>
      <c r="N70" s="570"/>
      <c r="O70" s="258"/>
      <c r="P70" s="259"/>
      <c r="Q70" s="269"/>
      <c r="R70" s="260"/>
      <c r="S70" s="261" t="str">
        <f t="shared" si="16"/>
        <v>0</v>
      </c>
      <c r="T70" s="260"/>
      <c r="U70" s="261" t="str">
        <f t="shared" si="17"/>
        <v>0</v>
      </c>
      <c r="V70" s="260"/>
      <c r="W70" s="261" t="str">
        <f t="shared" si="18"/>
        <v>0</v>
      </c>
      <c r="X70" s="260"/>
      <c r="Y70" s="261" t="str">
        <f t="shared" si="19"/>
        <v>0</v>
      </c>
      <c r="Z70" s="260"/>
      <c r="AA70" s="261" t="str">
        <f t="shared" si="20"/>
        <v>0</v>
      </c>
      <c r="AB70" s="260"/>
      <c r="AC70" s="261" t="str">
        <f t="shared" si="21"/>
        <v>0</v>
      </c>
      <c r="AD70" s="260"/>
      <c r="AE70" s="261" t="str">
        <f t="shared" si="22"/>
        <v>0</v>
      </c>
      <c r="AF70" s="262" t="str">
        <f t="shared" si="23"/>
        <v/>
      </c>
      <c r="AG70" s="262" t="str">
        <f t="shared" si="24"/>
        <v/>
      </c>
      <c r="AH70" s="263"/>
      <c r="AI70" s="262" t="str">
        <f t="shared" si="25"/>
        <v/>
      </c>
      <c r="AJ70" s="262" t="str">
        <f>IFERROR(VLOOKUP((CONCATENATE(AG70,AI70)),Listados!$U$3:$V$11,2,FALSE),"")</f>
        <v/>
      </c>
      <c r="AK70" s="262" t="str">
        <f t="shared" si="26"/>
        <v/>
      </c>
      <c r="AL70" s="560"/>
      <c r="AM70" s="560"/>
      <c r="AN70" s="560"/>
      <c r="AO70" s="560"/>
      <c r="AP70" s="568"/>
      <c r="AQ70" s="568"/>
      <c r="AR70" s="570"/>
      <c r="AS70" s="570"/>
      <c r="AT70" s="570"/>
      <c r="AU70" s="570"/>
      <c r="AV70" s="249"/>
      <c r="AW70" s="249"/>
      <c r="AX70" s="250"/>
      <c r="AY70" s="250"/>
      <c r="AZ70" s="249"/>
      <c r="BA70" s="249"/>
      <c r="BB70" s="807"/>
      <c r="BC70" s="807"/>
      <c r="BD70" s="791"/>
      <c r="BE70" s="783"/>
      <c r="BF70" s="649"/>
      <c r="BG70" s="652"/>
    </row>
    <row r="71" spans="1:59" ht="124.5" customHeight="1">
      <c r="A71" s="635">
        <v>16</v>
      </c>
      <c r="B71" s="638" t="s">
        <v>347</v>
      </c>
      <c r="C71" s="641" t="s">
        <v>348</v>
      </c>
      <c r="D71" s="653" t="s">
        <v>349</v>
      </c>
      <c r="E71" s="584" t="s">
        <v>221</v>
      </c>
      <c r="F71" s="653" t="s">
        <v>65</v>
      </c>
      <c r="G71" s="92" t="s">
        <v>350</v>
      </c>
      <c r="H71" s="91" t="s">
        <v>67</v>
      </c>
      <c r="I71" s="92" t="s">
        <v>351</v>
      </c>
      <c r="J71" s="584" t="s">
        <v>180</v>
      </c>
      <c r="K71" s="569">
        <f>+VLOOKUP(J71,Listados!$K$8:$L$12,2,0)</f>
        <v>2</v>
      </c>
      <c r="L71" s="585" t="s">
        <v>70</v>
      </c>
      <c r="M71" s="569">
        <f>+VLOOKUP(L71,Listados!$K$13:$L$17,2,0)</f>
        <v>2</v>
      </c>
      <c r="N71" s="569" t="str">
        <f>IF(AND(J71&lt;&gt;"",L71&lt;&gt;""),VLOOKUP(J71&amp;L71,Listados!$M$3:$N$27,2,FALSE),"")</f>
        <v>Bajo</v>
      </c>
      <c r="O71" s="92" t="s">
        <v>352</v>
      </c>
      <c r="P71" s="105" t="s">
        <v>350</v>
      </c>
      <c r="Q71" s="106" t="s">
        <v>72</v>
      </c>
      <c r="R71" s="94" t="s">
        <v>73</v>
      </c>
      <c r="S71" s="93">
        <f t="shared" si="16"/>
        <v>15</v>
      </c>
      <c r="T71" s="94" t="s">
        <v>73</v>
      </c>
      <c r="U71" s="93">
        <f t="shared" si="17"/>
        <v>15</v>
      </c>
      <c r="V71" s="94" t="s">
        <v>73</v>
      </c>
      <c r="W71" s="93">
        <f t="shared" si="18"/>
        <v>15</v>
      </c>
      <c r="X71" s="94" t="s">
        <v>72</v>
      </c>
      <c r="Y71" s="93">
        <f t="shared" si="19"/>
        <v>15</v>
      </c>
      <c r="Z71" s="94" t="s">
        <v>73</v>
      </c>
      <c r="AA71" s="93">
        <f t="shared" si="20"/>
        <v>15</v>
      </c>
      <c r="AB71" s="94" t="s">
        <v>73</v>
      </c>
      <c r="AC71" s="93">
        <f t="shared" si="21"/>
        <v>15</v>
      </c>
      <c r="AD71" s="94" t="s">
        <v>74</v>
      </c>
      <c r="AE71" s="93">
        <f t="shared" si="22"/>
        <v>10</v>
      </c>
      <c r="AF71" s="96">
        <f t="shared" si="23"/>
        <v>100</v>
      </c>
      <c r="AG71" s="96" t="str">
        <f t="shared" si="24"/>
        <v>Fuerte</v>
      </c>
      <c r="AH71" s="107" t="s">
        <v>75</v>
      </c>
      <c r="AI71" s="96" t="str">
        <f t="shared" si="25"/>
        <v>Fuerte</v>
      </c>
      <c r="AJ71" s="96" t="str">
        <f>IFERROR(VLOOKUP((CONCATENATE(AG71,AI71)),Listados!$U$3:$V$11,2,FALSE),"")</f>
        <v>Fuerte</v>
      </c>
      <c r="AK71" s="96">
        <f t="shared" si="26"/>
        <v>100</v>
      </c>
      <c r="AL71" s="559">
        <f t="shared" ref="AL71" si="120">AVERAGE(AK71:AK74)</f>
        <v>100</v>
      </c>
      <c r="AM71" s="559" t="str">
        <f t="shared" ref="AM71" si="121">IF(AL71&lt;=50,"Débil",IF(AL71&lt;=99,"Moderado",IF(AL71=100,"fuerte","")))</f>
        <v>fuerte</v>
      </c>
      <c r="AN71" s="559">
        <f t="shared" ref="AN71" si="122">+IF(AND(Q71="Preventivo",AM71="Fuerte"),2,IF(AND(Q71="Preventivo",AM71="Moderado"),1,0))</f>
        <v>2</v>
      </c>
      <c r="AO71" s="559">
        <f t="shared" ref="AO71" si="123">+IF(AND(Q71="Detectivo",$AM71="Fuerte"),2,IF(AND(Q71="Detectivo",$AM71="Moderado"),1,IF(AND(Q71="Preventivo",$AM71="Fuerte"),1,0)))</f>
        <v>1</v>
      </c>
      <c r="AP71" s="566">
        <f t="shared" ref="AP71" si="124">+K71-AN71</f>
        <v>0</v>
      </c>
      <c r="AQ71" s="566">
        <f t="shared" ref="AQ71" si="125">+M71-AO71</f>
        <v>1</v>
      </c>
      <c r="AR71" s="569" t="str">
        <f>+VLOOKUP(MIN(AP71),Listados!$J$18:$K$24,2,TRUE)</f>
        <v>Rara Vez</v>
      </c>
      <c r="AS71" s="569" t="str">
        <f>+VLOOKUP(MIN(AQ71),Listados!$J$26:$K$32,2,TRUE)</f>
        <v>Insignificante</v>
      </c>
      <c r="AT71" s="569" t="str">
        <f>IF(AND(AR71&lt;&gt;"",AS71&lt;&gt;""),VLOOKUP(AR71&amp;AS71,Listados!$M$3:$N$27,2,FALSE),"")</f>
        <v>Bajo</v>
      </c>
      <c r="AU71" s="569" t="str">
        <f>+VLOOKUP(AT71,Listados!$P$3:$Q$6,2,FALSE)</f>
        <v>Asumir el riesgo</v>
      </c>
      <c r="AV71" s="120" t="s">
        <v>353</v>
      </c>
      <c r="AW71" s="121" t="s">
        <v>354</v>
      </c>
      <c r="AX71" s="434">
        <v>45901</v>
      </c>
      <c r="AY71" s="435">
        <v>46022</v>
      </c>
      <c r="AZ71" s="120" t="s">
        <v>355</v>
      </c>
      <c r="BA71" s="120" t="s">
        <v>356</v>
      </c>
      <c r="BB71" s="808" t="s">
        <v>357</v>
      </c>
      <c r="BC71" s="786" t="s">
        <v>358</v>
      </c>
      <c r="BD71" s="789"/>
      <c r="BE71" s="644" t="s">
        <v>359</v>
      </c>
      <c r="BF71" s="647" t="s">
        <v>1614</v>
      </c>
      <c r="BG71" s="650"/>
    </row>
    <row r="72" spans="1:59" ht="135.75" customHeight="1">
      <c r="A72" s="636"/>
      <c r="B72" s="639"/>
      <c r="C72" s="642"/>
      <c r="D72" s="654"/>
      <c r="E72" s="572"/>
      <c r="F72" s="654"/>
      <c r="G72" s="329" t="s">
        <v>360</v>
      </c>
      <c r="H72" s="328" t="s">
        <v>67</v>
      </c>
      <c r="I72" s="329" t="s">
        <v>361</v>
      </c>
      <c r="J72" s="572"/>
      <c r="K72" s="565"/>
      <c r="L72" s="573"/>
      <c r="M72" s="565"/>
      <c r="N72" s="565"/>
      <c r="O72" s="342" t="s">
        <v>362</v>
      </c>
      <c r="P72" s="73" t="s">
        <v>360</v>
      </c>
      <c r="Q72" s="331" t="s">
        <v>83</v>
      </c>
      <c r="R72" s="332" t="s">
        <v>73</v>
      </c>
      <c r="S72" s="333">
        <f t="shared" si="16"/>
        <v>15</v>
      </c>
      <c r="T72" s="332" t="s">
        <v>73</v>
      </c>
      <c r="U72" s="333">
        <f t="shared" si="17"/>
        <v>15</v>
      </c>
      <c r="V72" s="332" t="s">
        <v>73</v>
      </c>
      <c r="W72" s="333">
        <f t="shared" si="18"/>
        <v>15</v>
      </c>
      <c r="X72" s="332" t="s">
        <v>72</v>
      </c>
      <c r="Y72" s="333">
        <f t="shared" si="19"/>
        <v>15</v>
      </c>
      <c r="Z72" s="332" t="s">
        <v>73</v>
      </c>
      <c r="AA72" s="333">
        <f t="shared" si="20"/>
        <v>15</v>
      </c>
      <c r="AB72" s="332" t="s">
        <v>73</v>
      </c>
      <c r="AC72" s="333">
        <f t="shared" si="21"/>
        <v>15</v>
      </c>
      <c r="AD72" s="332" t="s">
        <v>74</v>
      </c>
      <c r="AE72" s="333">
        <f t="shared" si="22"/>
        <v>10</v>
      </c>
      <c r="AF72" s="334">
        <f t="shared" si="23"/>
        <v>100</v>
      </c>
      <c r="AG72" s="334" t="str">
        <f t="shared" si="24"/>
        <v>Fuerte</v>
      </c>
      <c r="AH72" s="335" t="s">
        <v>75</v>
      </c>
      <c r="AI72" s="334" t="str">
        <f t="shared" si="25"/>
        <v>Fuerte</v>
      </c>
      <c r="AJ72" s="334" t="str">
        <f>IFERROR(VLOOKUP((CONCATENATE(AG72,AI72)),Listados!$U$3:$V$11,2,FALSE),"")</f>
        <v>Fuerte</v>
      </c>
      <c r="AK72" s="334">
        <f t="shared" si="26"/>
        <v>100</v>
      </c>
      <c r="AL72" s="558"/>
      <c r="AM72" s="558"/>
      <c r="AN72" s="558"/>
      <c r="AO72" s="558"/>
      <c r="AP72" s="567"/>
      <c r="AQ72" s="567"/>
      <c r="AR72" s="565"/>
      <c r="AS72" s="565"/>
      <c r="AT72" s="565"/>
      <c r="AU72" s="565"/>
      <c r="AV72" s="336"/>
      <c r="AW72" s="336"/>
      <c r="AX72" s="336"/>
      <c r="AY72" s="336"/>
      <c r="AZ72" s="336"/>
      <c r="BA72" s="336"/>
      <c r="BB72" s="809"/>
      <c r="BC72" s="787"/>
      <c r="BD72" s="790"/>
      <c r="BE72" s="645"/>
      <c r="BF72" s="648"/>
      <c r="BG72" s="651"/>
    </row>
    <row r="73" spans="1:59" ht="50.25" customHeight="1">
      <c r="A73" s="636"/>
      <c r="B73" s="639"/>
      <c r="C73" s="642"/>
      <c r="D73" s="654"/>
      <c r="E73" s="572"/>
      <c r="F73" s="654"/>
      <c r="G73" s="329"/>
      <c r="H73" s="328"/>
      <c r="I73" s="329"/>
      <c r="J73" s="572"/>
      <c r="K73" s="565"/>
      <c r="L73" s="573"/>
      <c r="M73" s="565"/>
      <c r="N73" s="565"/>
      <c r="O73" s="347"/>
      <c r="P73" s="73"/>
      <c r="Q73" s="348"/>
      <c r="R73" s="332"/>
      <c r="S73" s="333" t="str">
        <f t="shared" si="16"/>
        <v>0</v>
      </c>
      <c r="T73" s="332"/>
      <c r="U73" s="333" t="str">
        <f t="shared" si="17"/>
        <v>0</v>
      </c>
      <c r="V73" s="332"/>
      <c r="W73" s="333" t="str">
        <f t="shared" si="18"/>
        <v>0</v>
      </c>
      <c r="X73" s="332"/>
      <c r="Y73" s="333" t="str">
        <f t="shared" si="19"/>
        <v>0</v>
      </c>
      <c r="Z73" s="332"/>
      <c r="AA73" s="333" t="str">
        <f t="shared" si="20"/>
        <v>0</v>
      </c>
      <c r="AB73" s="332"/>
      <c r="AC73" s="333" t="str">
        <f t="shared" si="21"/>
        <v>0</v>
      </c>
      <c r="AD73" s="332"/>
      <c r="AE73" s="333" t="str">
        <f t="shared" si="22"/>
        <v>0</v>
      </c>
      <c r="AF73" s="334" t="str">
        <f t="shared" si="23"/>
        <v/>
      </c>
      <c r="AG73" s="334" t="str">
        <f t="shared" si="24"/>
        <v/>
      </c>
      <c r="AH73" s="335"/>
      <c r="AI73" s="334" t="str">
        <f t="shared" si="25"/>
        <v/>
      </c>
      <c r="AJ73" s="334" t="str">
        <f>IFERROR(VLOOKUP((CONCATENATE(AG73,AI73)),Listados!$U$3:$V$11,2,FALSE),"")</f>
        <v/>
      </c>
      <c r="AK73" s="334" t="str">
        <f t="shared" si="26"/>
        <v/>
      </c>
      <c r="AL73" s="558"/>
      <c r="AM73" s="558"/>
      <c r="AN73" s="558"/>
      <c r="AO73" s="558"/>
      <c r="AP73" s="567"/>
      <c r="AQ73" s="567"/>
      <c r="AR73" s="565"/>
      <c r="AS73" s="565"/>
      <c r="AT73" s="565"/>
      <c r="AU73" s="565"/>
      <c r="AV73" s="336"/>
      <c r="AW73" s="336"/>
      <c r="AX73" s="339"/>
      <c r="AY73" s="339"/>
      <c r="AZ73" s="336"/>
      <c r="BA73" s="336"/>
      <c r="BB73" s="809"/>
      <c r="BC73" s="787"/>
      <c r="BD73" s="790"/>
      <c r="BE73" s="645"/>
      <c r="BF73" s="648"/>
      <c r="BG73" s="651"/>
    </row>
    <row r="74" spans="1:59" ht="55.5" customHeight="1">
      <c r="A74" s="637"/>
      <c r="B74" s="640"/>
      <c r="C74" s="643"/>
      <c r="D74" s="655"/>
      <c r="E74" s="586"/>
      <c r="F74" s="655"/>
      <c r="G74" s="256"/>
      <c r="H74" s="257"/>
      <c r="I74" s="257"/>
      <c r="J74" s="586"/>
      <c r="K74" s="570"/>
      <c r="L74" s="587"/>
      <c r="M74" s="570"/>
      <c r="N74" s="570"/>
      <c r="O74" s="258"/>
      <c r="P74" s="146"/>
      <c r="Q74" s="269"/>
      <c r="R74" s="260"/>
      <c r="S74" s="261" t="str">
        <f t="shared" si="16"/>
        <v>0</v>
      </c>
      <c r="T74" s="260"/>
      <c r="U74" s="261" t="str">
        <f t="shared" si="17"/>
        <v>0</v>
      </c>
      <c r="V74" s="260"/>
      <c r="W74" s="261" t="str">
        <f t="shared" si="18"/>
        <v>0</v>
      </c>
      <c r="X74" s="260"/>
      <c r="Y74" s="261" t="str">
        <f t="shared" si="19"/>
        <v>0</v>
      </c>
      <c r="Z74" s="260"/>
      <c r="AA74" s="261" t="str">
        <f t="shared" si="20"/>
        <v>0</v>
      </c>
      <c r="AB74" s="260"/>
      <c r="AC74" s="261" t="str">
        <f t="shared" si="21"/>
        <v>0</v>
      </c>
      <c r="AD74" s="260"/>
      <c r="AE74" s="261" t="str">
        <f t="shared" si="22"/>
        <v>0</v>
      </c>
      <c r="AF74" s="262" t="str">
        <f t="shared" si="23"/>
        <v/>
      </c>
      <c r="AG74" s="262" t="str">
        <f t="shared" si="24"/>
        <v/>
      </c>
      <c r="AH74" s="263"/>
      <c r="AI74" s="262" t="str">
        <f t="shared" si="25"/>
        <v/>
      </c>
      <c r="AJ74" s="262" t="str">
        <f>IFERROR(VLOOKUP((CONCATENATE(AG74,AI74)),Listados!$U$3:$V$11,2,FALSE),"")</f>
        <v/>
      </c>
      <c r="AK74" s="262" t="str">
        <f t="shared" si="26"/>
        <v/>
      </c>
      <c r="AL74" s="560"/>
      <c r="AM74" s="560"/>
      <c r="AN74" s="560"/>
      <c r="AO74" s="560"/>
      <c r="AP74" s="568"/>
      <c r="AQ74" s="568"/>
      <c r="AR74" s="570"/>
      <c r="AS74" s="570"/>
      <c r="AT74" s="570"/>
      <c r="AU74" s="570"/>
      <c r="AV74" s="249"/>
      <c r="AW74" s="249"/>
      <c r="AX74" s="250"/>
      <c r="AY74" s="250"/>
      <c r="AZ74" s="249"/>
      <c r="BA74" s="249"/>
      <c r="BB74" s="810"/>
      <c r="BC74" s="788"/>
      <c r="BD74" s="791"/>
      <c r="BE74" s="646"/>
      <c r="BF74" s="649"/>
      <c r="BG74" s="652"/>
    </row>
    <row r="75" spans="1:59" ht="141.75" customHeight="1">
      <c r="A75" s="635">
        <v>17</v>
      </c>
      <c r="B75" s="638" t="s">
        <v>347</v>
      </c>
      <c r="C75" s="641" t="s">
        <v>363</v>
      </c>
      <c r="D75" s="653" t="s">
        <v>364</v>
      </c>
      <c r="E75" s="584" t="s">
        <v>221</v>
      </c>
      <c r="F75" s="584" t="s">
        <v>307</v>
      </c>
      <c r="G75" s="92" t="s">
        <v>365</v>
      </c>
      <c r="H75" s="91" t="s">
        <v>67</v>
      </c>
      <c r="I75" s="141" t="s">
        <v>366</v>
      </c>
      <c r="J75" s="584" t="s">
        <v>88</v>
      </c>
      <c r="K75" s="569">
        <f>+VLOOKUP(J75,Listados!$K$8:$L$12,2,0)</f>
        <v>3</v>
      </c>
      <c r="L75" s="585" t="s">
        <v>89</v>
      </c>
      <c r="M75" s="569">
        <f>+VLOOKUP(L75,Listados!$K$13:$L$17,2,0)</f>
        <v>3</v>
      </c>
      <c r="N75" s="569" t="str">
        <f>IF(AND(J75&lt;&gt;"",L75&lt;&gt;""),VLOOKUP(J75&amp;L75,Listados!$M$3:$N$27,2,FALSE),"")</f>
        <v>Alto</v>
      </c>
      <c r="O75" s="128" t="s">
        <v>367</v>
      </c>
      <c r="P75" s="105" t="s">
        <v>365</v>
      </c>
      <c r="Q75" s="130" t="s">
        <v>72</v>
      </c>
      <c r="R75" s="94" t="s">
        <v>73</v>
      </c>
      <c r="S75" s="93">
        <f t="shared" si="16"/>
        <v>15</v>
      </c>
      <c r="T75" s="94" t="s">
        <v>73</v>
      </c>
      <c r="U75" s="93">
        <f t="shared" si="17"/>
        <v>15</v>
      </c>
      <c r="V75" s="94" t="s">
        <v>73</v>
      </c>
      <c r="W75" s="93">
        <f t="shared" si="18"/>
        <v>15</v>
      </c>
      <c r="X75" s="94" t="s">
        <v>72</v>
      </c>
      <c r="Y75" s="93">
        <f t="shared" si="19"/>
        <v>15</v>
      </c>
      <c r="Z75" s="94" t="s">
        <v>73</v>
      </c>
      <c r="AA75" s="93">
        <f t="shared" si="20"/>
        <v>15</v>
      </c>
      <c r="AB75" s="94" t="s">
        <v>73</v>
      </c>
      <c r="AC75" s="93">
        <f t="shared" si="21"/>
        <v>15</v>
      </c>
      <c r="AD75" s="94" t="s">
        <v>74</v>
      </c>
      <c r="AE75" s="93">
        <f t="shared" si="22"/>
        <v>10</v>
      </c>
      <c r="AF75" s="96">
        <f t="shared" si="23"/>
        <v>100</v>
      </c>
      <c r="AG75" s="96" t="str">
        <f t="shared" si="24"/>
        <v>Fuerte</v>
      </c>
      <c r="AH75" s="107" t="s">
        <v>75</v>
      </c>
      <c r="AI75" s="96" t="str">
        <f t="shared" si="25"/>
        <v>Fuerte</v>
      </c>
      <c r="AJ75" s="96" t="str">
        <f>IFERROR(VLOOKUP((CONCATENATE(AG75,AI75)),Listados!$U$3:$V$11,2,FALSE),"")</f>
        <v>Fuerte</v>
      </c>
      <c r="AK75" s="96">
        <f t="shared" si="26"/>
        <v>100</v>
      </c>
      <c r="AL75" s="559">
        <f t="shared" ref="AL75" si="126">AVERAGE(AK75:AK78)</f>
        <v>100</v>
      </c>
      <c r="AM75" s="559" t="str">
        <f t="shared" ref="AM75" si="127">IF(AL75&lt;=50,"Débil",IF(AL75&lt;=99,"Moderado",IF(AL75=100,"fuerte","")))</f>
        <v>fuerte</v>
      </c>
      <c r="AN75" s="559">
        <f t="shared" ref="AN75" si="128">+IF(AND(Q75="Preventivo",AM75="Fuerte"),2,IF(AND(Q75="Preventivo",AM75="Moderado"),1,0))</f>
        <v>2</v>
      </c>
      <c r="AO75" s="559">
        <f t="shared" ref="AO75" si="129">+IF(AND(Q75="Detectivo",$AM75="Fuerte"),2,IF(AND(Q75="Detectivo",$AM75="Moderado"),1,IF(AND(Q75="Preventivo",$AM75="Fuerte"),1,0)))</f>
        <v>1</v>
      </c>
      <c r="AP75" s="566">
        <f t="shared" ref="AP75" si="130">+K75-AN75</f>
        <v>1</v>
      </c>
      <c r="AQ75" s="566">
        <f t="shared" ref="AQ75" si="131">+M75-AO75</f>
        <v>2</v>
      </c>
      <c r="AR75" s="569" t="str">
        <f>+VLOOKUP(MIN(AP75),Listados!$J$18:$K$24,2,TRUE)</f>
        <v>Rara Vez</v>
      </c>
      <c r="AS75" s="569" t="str">
        <f>+VLOOKUP(MIN(AQ75),Listados!$J$26:$K$32,2,TRUE)</f>
        <v>Menor</v>
      </c>
      <c r="AT75" s="569" t="str">
        <f>IF(AND(AR75&lt;&gt;"",AS75&lt;&gt;""),VLOOKUP(AR75&amp;AS75,Listados!$M$3:$N$27,2,FALSE),"")</f>
        <v>Bajo</v>
      </c>
      <c r="AU75" s="569" t="str">
        <f>+VLOOKUP(AT75,Listados!$P$3:$Q$6,2,FALSE)</f>
        <v>Asumir el riesgo</v>
      </c>
      <c r="AV75" s="218" t="s">
        <v>368</v>
      </c>
      <c r="AW75" s="97"/>
      <c r="AX75" s="98"/>
      <c r="AY75" s="99"/>
      <c r="AZ75" s="97"/>
      <c r="BA75" s="97"/>
      <c r="BB75" s="176" t="s">
        <v>369</v>
      </c>
      <c r="BC75" s="811" t="s">
        <v>370</v>
      </c>
      <c r="BD75" s="789"/>
      <c r="BE75" s="644" t="s">
        <v>371</v>
      </c>
      <c r="BF75" s="775" t="s">
        <v>1615</v>
      </c>
      <c r="BG75" s="650"/>
    </row>
    <row r="76" spans="1:59" ht="129" customHeight="1">
      <c r="A76" s="636"/>
      <c r="B76" s="639"/>
      <c r="C76" s="642"/>
      <c r="D76" s="654"/>
      <c r="E76" s="572"/>
      <c r="F76" s="572"/>
      <c r="G76" s="329" t="s">
        <v>372</v>
      </c>
      <c r="H76" s="328" t="s">
        <v>67</v>
      </c>
      <c r="I76" s="342" t="s">
        <v>373</v>
      </c>
      <c r="J76" s="572"/>
      <c r="K76" s="565"/>
      <c r="L76" s="573"/>
      <c r="M76" s="565"/>
      <c r="N76" s="565"/>
      <c r="O76" s="337" t="s">
        <v>374</v>
      </c>
      <c r="P76" s="73" t="s">
        <v>372</v>
      </c>
      <c r="Q76" s="350" t="s">
        <v>72</v>
      </c>
      <c r="R76" s="332" t="s">
        <v>73</v>
      </c>
      <c r="S76" s="333">
        <f t="shared" si="16"/>
        <v>15</v>
      </c>
      <c r="T76" s="332" t="s">
        <v>73</v>
      </c>
      <c r="U76" s="333">
        <f t="shared" si="17"/>
        <v>15</v>
      </c>
      <c r="V76" s="332" t="s">
        <v>73</v>
      </c>
      <c r="W76" s="333">
        <f t="shared" si="18"/>
        <v>15</v>
      </c>
      <c r="X76" s="332" t="s">
        <v>72</v>
      </c>
      <c r="Y76" s="333">
        <f t="shared" si="19"/>
        <v>15</v>
      </c>
      <c r="Z76" s="332" t="s">
        <v>73</v>
      </c>
      <c r="AA76" s="333">
        <f t="shared" si="20"/>
        <v>15</v>
      </c>
      <c r="AB76" s="332" t="s">
        <v>73</v>
      </c>
      <c r="AC76" s="333">
        <f t="shared" si="21"/>
        <v>15</v>
      </c>
      <c r="AD76" s="332" t="s">
        <v>74</v>
      </c>
      <c r="AE76" s="333">
        <f t="shared" si="22"/>
        <v>10</v>
      </c>
      <c r="AF76" s="334">
        <f t="shared" si="23"/>
        <v>100</v>
      </c>
      <c r="AG76" s="334" t="str">
        <f t="shared" si="24"/>
        <v>Fuerte</v>
      </c>
      <c r="AH76" s="335" t="s">
        <v>75</v>
      </c>
      <c r="AI76" s="334" t="str">
        <f t="shared" si="25"/>
        <v>Fuerte</v>
      </c>
      <c r="AJ76" s="334" t="str">
        <f>IFERROR(VLOOKUP((CONCATENATE(AG76,AI76)),Listados!$U$3:$V$11,2,FALSE),"")</f>
        <v>Fuerte</v>
      </c>
      <c r="AK76" s="334">
        <f t="shared" si="26"/>
        <v>100</v>
      </c>
      <c r="AL76" s="558"/>
      <c r="AM76" s="558"/>
      <c r="AN76" s="558"/>
      <c r="AO76" s="558"/>
      <c r="AP76" s="567"/>
      <c r="AQ76" s="567"/>
      <c r="AR76" s="565"/>
      <c r="AS76" s="565"/>
      <c r="AT76" s="565"/>
      <c r="AU76" s="565"/>
      <c r="AV76" s="336"/>
      <c r="AW76" s="336"/>
      <c r="AX76" s="336"/>
      <c r="AY76" s="336"/>
      <c r="AZ76" s="336"/>
      <c r="BA76" s="336"/>
      <c r="BB76" s="355" t="s">
        <v>375</v>
      </c>
      <c r="BC76" s="812"/>
      <c r="BD76" s="790"/>
      <c r="BE76" s="645"/>
      <c r="BF76" s="768"/>
      <c r="BG76" s="651"/>
    </row>
    <row r="77" spans="1:59" ht="156" customHeight="1">
      <c r="A77" s="636"/>
      <c r="B77" s="639"/>
      <c r="C77" s="642"/>
      <c r="D77" s="654"/>
      <c r="E77" s="572"/>
      <c r="F77" s="572"/>
      <c r="G77" s="329" t="s">
        <v>376</v>
      </c>
      <c r="H77" s="328" t="s">
        <v>67</v>
      </c>
      <c r="I77" s="342" t="s">
        <v>377</v>
      </c>
      <c r="J77" s="572"/>
      <c r="K77" s="565"/>
      <c r="L77" s="573"/>
      <c r="M77" s="565"/>
      <c r="N77" s="565"/>
      <c r="O77" s="337" t="s">
        <v>378</v>
      </c>
      <c r="P77" s="73" t="s">
        <v>376</v>
      </c>
      <c r="Q77" s="348" t="s">
        <v>72</v>
      </c>
      <c r="R77" s="332" t="s">
        <v>73</v>
      </c>
      <c r="S77" s="333">
        <f t="shared" si="16"/>
        <v>15</v>
      </c>
      <c r="T77" s="332" t="s">
        <v>73</v>
      </c>
      <c r="U77" s="333">
        <f t="shared" si="17"/>
        <v>15</v>
      </c>
      <c r="V77" s="332" t="s">
        <v>73</v>
      </c>
      <c r="W77" s="333">
        <f t="shared" si="18"/>
        <v>15</v>
      </c>
      <c r="X77" s="332" t="s">
        <v>72</v>
      </c>
      <c r="Y77" s="333">
        <f t="shared" si="19"/>
        <v>15</v>
      </c>
      <c r="Z77" s="332" t="s">
        <v>73</v>
      </c>
      <c r="AA77" s="333">
        <f t="shared" si="20"/>
        <v>15</v>
      </c>
      <c r="AB77" s="332" t="s">
        <v>73</v>
      </c>
      <c r="AC77" s="333">
        <f t="shared" si="21"/>
        <v>15</v>
      </c>
      <c r="AD77" s="332" t="s">
        <v>74</v>
      </c>
      <c r="AE77" s="333">
        <f t="shared" si="22"/>
        <v>10</v>
      </c>
      <c r="AF77" s="334">
        <f t="shared" si="23"/>
        <v>100</v>
      </c>
      <c r="AG77" s="334" t="str">
        <f t="shared" si="24"/>
        <v>Fuerte</v>
      </c>
      <c r="AH77" s="335" t="s">
        <v>75</v>
      </c>
      <c r="AI77" s="334" t="str">
        <f t="shared" si="25"/>
        <v>Fuerte</v>
      </c>
      <c r="AJ77" s="334" t="str">
        <f>IFERROR(VLOOKUP((CONCATENATE(AG77,AI77)),Listados!$U$3:$V$11,2,FALSE),"")</f>
        <v>Fuerte</v>
      </c>
      <c r="AK77" s="334">
        <f t="shared" si="26"/>
        <v>100</v>
      </c>
      <c r="AL77" s="558"/>
      <c r="AM77" s="558"/>
      <c r="AN77" s="558"/>
      <c r="AO77" s="558"/>
      <c r="AP77" s="567"/>
      <c r="AQ77" s="567"/>
      <c r="AR77" s="565"/>
      <c r="AS77" s="565"/>
      <c r="AT77" s="565"/>
      <c r="AU77" s="565"/>
      <c r="AV77" s="336"/>
      <c r="AW77" s="336"/>
      <c r="AX77" s="339"/>
      <c r="AY77" s="339"/>
      <c r="AZ77" s="336"/>
      <c r="BA77" s="336"/>
      <c r="BB77" s="356" t="s">
        <v>379</v>
      </c>
      <c r="BC77" s="812"/>
      <c r="BD77" s="790"/>
      <c r="BE77" s="645"/>
      <c r="BF77" s="768"/>
      <c r="BG77" s="651"/>
    </row>
    <row r="78" spans="1:59" ht="128.25">
      <c r="A78" s="637"/>
      <c r="B78" s="640"/>
      <c r="C78" s="643"/>
      <c r="D78" s="655"/>
      <c r="E78" s="586"/>
      <c r="F78" s="586"/>
      <c r="G78" s="256" t="s">
        <v>380</v>
      </c>
      <c r="H78" s="255" t="s">
        <v>67</v>
      </c>
      <c r="I78" s="268" t="s">
        <v>381</v>
      </c>
      <c r="J78" s="586"/>
      <c r="K78" s="570"/>
      <c r="L78" s="587"/>
      <c r="M78" s="570"/>
      <c r="N78" s="570"/>
      <c r="O78" s="337" t="s">
        <v>382</v>
      </c>
      <c r="P78" s="146" t="s">
        <v>380</v>
      </c>
      <c r="Q78" s="269" t="s">
        <v>72</v>
      </c>
      <c r="R78" s="260" t="s">
        <v>73</v>
      </c>
      <c r="S78" s="261">
        <f t="shared" si="16"/>
        <v>15</v>
      </c>
      <c r="T78" s="260" t="s">
        <v>73</v>
      </c>
      <c r="U78" s="261">
        <f t="shared" si="17"/>
        <v>15</v>
      </c>
      <c r="V78" s="260" t="s">
        <v>73</v>
      </c>
      <c r="W78" s="261">
        <f t="shared" si="18"/>
        <v>15</v>
      </c>
      <c r="X78" s="260" t="s">
        <v>72</v>
      </c>
      <c r="Y78" s="261">
        <f t="shared" si="19"/>
        <v>15</v>
      </c>
      <c r="Z78" s="260" t="s">
        <v>73</v>
      </c>
      <c r="AA78" s="261">
        <f t="shared" si="20"/>
        <v>15</v>
      </c>
      <c r="AB78" s="260" t="s">
        <v>73</v>
      </c>
      <c r="AC78" s="261">
        <f t="shared" si="21"/>
        <v>15</v>
      </c>
      <c r="AD78" s="260" t="s">
        <v>74</v>
      </c>
      <c r="AE78" s="261">
        <f t="shared" si="22"/>
        <v>10</v>
      </c>
      <c r="AF78" s="262">
        <f t="shared" si="23"/>
        <v>100</v>
      </c>
      <c r="AG78" s="262" t="str">
        <f t="shared" si="24"/>
        <v>Fuerte</v>
      </c>
      <c r="AH78" s="263" t="s">
        <v>75</v>
      </c>
      <c r="AI78" s="262" t="str">
        <f t="shared" si="25"/>
        <v>Fuerte</v>
      </c>
      <c r="AJ78" s="262" t="str">
        <f>IFERROR(VLOOKUP((CONCATENATE(AG78,AI78)),Listados!$U$3:$V$11,2,FALSE),"")</f>
        <v>Fuerte</v>
      </c>
      <c r="AK78" s="262">
        <f t="shared" si="26"/>
        <v>100</v>
      </c>
      <c r="AL78" s="560"/>
      <c r="AM78" s="560"/>
      <c r="AN78" s="560"/>
      <c r="AO78" s="560"/>
      <c r="AP78" s="568"/>
      <c r="AQ78" s="568"/>
      <c r="AR78" s="570"/>
      <c r="AS78" s="570"/>
      <c r="AT78" s="570"/>
      <c r="AU78" s="570"/>
      <c r="AV78" s="249"/>
      <c r="AW78" s="249"/>
      <c r="AX78" s="250"/>
      <c r="AY78" s="250"/>
      <c r="AZ78" s="249"/>
      <c r="BA78" s="249"/>
      <c r="BB78" s="272" t="s">
        <v>383</v>
      </c>
      <c r="BC78" s="813"/>
      <c r="BD78" s="791"/>
      <c r="BE78" s="646"/>
      <c r="BF78" s="769"/>
      <c r="BG78" s="652"/>
    </row>
    <row r="79" spans="1:59" ht="187.5" customHeight="1">
      <c r="A79" s="635">
        <v>18</v>
      </c>
      <c r="B79" s="638" t="s">
        <v>347</v>
      </c>
      <c r="C79" s="641" t="s">
        <v>363</v>
      </c>
      <c r="D79" s="584" t="s">
        <v>384</v>
      </c>
      <c r="E79" s="584" t="s">
        <v>85</v>
      </c>
      <c r="F79" s="584" t="s">
        <v>385</v>
      </c>
      <c r="G79" s="221" t="s">
        <v>386</v>
      </c>
      <c r="H79" s="222" t="s">
        <v>67</v>
      </c>
      <c r="I79" s="328" t="s">
        <v>387</v>
      </c>
      <c r="J79" s="584" t="s">
        <v>88</v>
      </c>
      <c r="K79" s="569">
        <f>+VLOOKUP(J79,Listados!$K$8:$L$12,2,0)</f>
        <v>3</v>
      </c>
      <c r="L79" s="585" t="s">
        <v>89</v>
      </c>
      <c r="M79" s="569">
        <f>+VLOOKUP(L79,Listados!$K$13:$L$17,2,0)</f>
        <v>3</v>
      </c>
      <c r="N79" s="569" t="str">
        <f>IF(AND(J79&lt;&gt;"",L79&lt;&gt;""),VLOOKUP(J79&amp;L79,Listados!$M$3:$N$27,2,FALSE),"")</f>
        <v>Alto</v>
      </c>
      <c r="O79" s="436" t="s">
        <v>388</v>
      </c>
      <c r="P79" s="177" t="s">
        <v>386</v>
      </c>
      <c r="Q79" s="130" t="s">
        <v>72</v>
      </c>
      <c r="R79" s="94" t="s">
        <v>73</v>
      </c>
      <c r="S79" s="93">
        <f t="shared" si="16"/>
        <v>15</v>
      </c>
      <c r="T79" s="94" t="s">
        <v>73</v>
      </c>
      <c r="U79" s="93">
        <f t="shared" si="17"/>
        <v>15</v>
      </c>
      <c r="V79" s="94" t="s">
        <v>73</v>
      </c>
      <c r="W79" s="93">
        <f t="shared" si="18"/>
        <v>15</v>
      </c>
      <c r="X79" s="94" t="s">
        <v>72</v>
      </c>
      <c r="Y79" s="93">
        <f t="shared" si="19"/>
        <v>15</v>
      </c>
      <c r="Z79" s="94" t="s">
        <v>73</v>
      </c>
      <c r="AA79" s="93">
        <f t="shared" si="20"/>
        <v>15</v>
      </c>
      <c r="AB79" s="94" t="s">
        <v>73</v>
      </c>
      <c r="AC79" s="93">
        <f t="shared" si="21"/>
        <v>15</v>
      </c>
      <c r="AD79" s="94" t="s">
        <v>74</v>
      </c>
      <c r="AE79" s="93">
        <f t="shared" si="22"/>
        <v>10</v>
      </c>
      <c r="AF79" s="96">
        <f t="shared" si="23"/>
        <v>100</v>
      </c>
      <c r="AG79" s="96" t="str">
        <f t="shared" si="24"/>
        <v>Fuerte</v>
      </c>
      <c r="AH79" s="107" t="s">
        <v>75</v>
      </c>
      <c r="AI79" s="96" t="str">
        <f t="shared" si="25"/>
        <v>Fuerte</v>
      </c>
      <c r="AJ79" s="96" t="str">
        <f>IFERROR(VLOOKUP((CONCATENATE(AG79,AI79)),Listados!$U$3:$V$11,2,FALSE),"")</f>
        <v>Fuerte</v>
      </c>
      <c r="AK79" s="96">
        <f t="shared" si="26"/>
        <v>100</v>
      </c>
      <c r="AL79" s="559">
        <f t="shared" ref="AL79" si="132">AVERAGE(AK79:AK82)</f>
        <v>100</v>
      </c>
      <c r="AM79" s="559" t="str">
        <f t="shared" ref="AM79" si="133">IF(AL79&lt;=50,"Débil",IF(AL79&lt;=99,"Moderado",IF(AL79=100,"fuerte","")))</f>
        <v>fuerte</v>
      </c>
      <c r="AN79" s="559">
        <f t="shared" ref="AN79" si="134">+IF(AND(Q79="Preventivo",AM79="Fuerte"),2,IF(AND(Q79="Preventivo",AM79="Moderado"),1,0))</f>
        <v>2</v>
      </c>
      <c r="AO79" s="559">
        <f t="shared" ref="AO79" si="135">+IF(AND(Q79="Detectivo",$AM79="Fuerte"),2,IF(AND(Q79="Detectivo",$AM79="Moderado"),1,IF(AND(Q79="Preventivo",$AM79="Fuerte"),1,0)))</f>
        <v>1</v>
      </c>
      <c r="AP79" s="566">
        <f t="shared" ref="AP79" si="136">+K79-AN79</f>
        <v>1</v>
      </c>
      <c r="AQ79" s="566">
        <f t="shared" ref="AQ79" si="137">+M79-AO79</f>
        <v>2</v>
      </c>
      <c r="AR79" s="569" t="str">
        <f>+VLOOKUP(MIN(AP79),Listados!$J$18:$K$24,2,TRUE)</f>
        <v>Rara Vez</v>
      </c>
      <c r="AS79" s="569" t="str">
        <f>+VLOOKUP(MIN(AQ79),Listados!$J$26:$K$32,2,TRUE)</f>
        <v>Menor</v>
      </c>
      <c r="AT79" s="569" t="str">
        <f>IF(AND(AR79&lt;&gt;"",AS79&lt;&gt;""),VLOOKUP(AR79&amp;AS79,Listados!$M$3:$N$27,2,FALSE),"")</f>
        <v>Bajo</v>
      </c>
      <c r="AU79" s="569" t="str">
        <f>+VLOOKUP(AT79,Listados!$P$3:$Q$6,2,FALSE)</f>
        <v>Asumir el riesgo</v>
      </c>
      <c r="AV79" s="97" t="s">
        <v>368</v>
      </c>
      <c r="AW79" s="97"/>
      <c r="AX79" s="98"/>
      <c r="AY79" s="99"/>
      <c r="AZ79" s="97"/>
      <c r="BA79" s="97"/>
      <c r="BB79" s="355" t="s">
        <v>389</v>
      </c>
      <c r="BC79" s="814" t="s">
        <v>390</v>
      </c>
      <c r="BD79" s="789"/>
      <c r="BE79" s="644" t="s">
        <v>391</v>
      </c>
      <c r="BF79" s="647" t="s">
        <v>1616</v>
      </c>
      <c r="BG79" s="650"/>
    </row>
    <row r="80" spans="1:59" ht="192" customHeight="1">
      <c r="A80" s="636"/>
      <c r="B80" s="639"/>
      <c r="C80" s="642"/>
      <c r="D80" s="572"/>
      <c r="E80" s="572"/>
      <c r="F80" s="572"/>
      <c r="G80" s="329" t="s">
        <v>392</v>
      </c>
      <c r="H80" s="328" t="s">
        <v>67</v>
      </c>
      <c r="I80" s="328" t="s">
        <v>393</v>
      </c>
      <c r="J80" s="572"/>
      <c r="K80" s="565"/>
      <c r="L80" s="573"/>
      <c r="M80" s="565"/>
      <c r="N80" s="565"/>
      <c r="O80" s="437" t="s">
        <v>394</v>
      </c>
      <c r="P80" s="330" t="s">
        <v>392</v>
      </c>
      <c r="Q80" s="350" t="s">
        <v>72</v>
      </c>
      <c r="R80" s="332" t="s">
        <v>73</v>
      </c>
      <c r="S80" s="333">
        <f t="shared" ref="S80:S139" si="138">+IF(R80="si",15,"0")</f>
        <v>15</v>
      </c>
      <c r="T80" s="332" t="s">
        <v>73</v>
      </c>
      <c r="U80" s="333">
        <f t="shared" ref="U80:U139" si="139">+IF(T80="si",15,"0")</f>
        <v>15</v>
      </c>
      <c r="V80" s="332" t="s">
        <v>73</v>
      </c>
      <c r="W80" s="333">
        <f t="shared" ref="W80:W139" si="140">+IF(V80="si",15,"0")</f>
        <v>15</v>
      </c>
      <c r="X80" s="332" t="s">
        <v>72</v>
      </c>
      <c r="Y80" s="333">
        <f t="shared" ref="Y80:Y139" si="141">+IF(X80="Preventivo",15,IF(X80="Detectivo",10,"0"))</f>
        <v>15</v>
      </c>
      <c r="Z80" s="332" t="s">
        <v>73</v>
      </c>
      <c r="AA80" s="333">
        <f t="shared" ref="AA80:AA139" si="142">+IF(Z80="si",15,"0")</f>
        <v>15</v>
      </c>
      <c r="AB80" s="332" t="s">
        <v>73</v>
      </c>
      <c r="AC80" s="333">
        <f t="shared" ref="AC80:AC139" si="143">+IF(AB80="si",15,"0")</f>
        <v>15</v>
      </c>
      <c r="AD80" s="332" t="s">
        <v>74</v>
      </c>
      <c r="AE80" s="333">
        <f t="shared" ref="AE80:AE139" si="144">+IF(AD80="Completa",10,IF(AD80="Incompleta",5,"0"))</f>
        <v>10</v>
      </c>
      <c r="AF80" s="334">
        <f t="shared" ref="AF80:AF139" si="145">IF((SUM(S80,U80,W80,Y80,AA80,AC80,AE80)=0),"",(SUM(S80,U80,W80,Y80,AA80,AC80,AE80)))</f>
        <v>100</v>
      </c>
      <c r="AG80" s="334" t="str">
        <f t="shared" ref="AG80:AG139" si="146">IF(AF80&lt;=85,"Débil",IF(AF80&lt;=95,"Moderado",IF(AF80=100,"Fuerte","")))</f>
        <v>Fuerte</v>
      </c>
      <c r="AH80" s="335" t="s">
        <v>75</v>
      </c>
      <c r="AI80" s="334" t="str">
        <f t="shared" ref="AI80:AI139" si="147">+IF(AH80="siempre","Fuerte",IF(AH80="Algunas veces","Moderado",IF(AH80="No se ejecuta","Débil","")))</f>
        <v>Fuerte</v>
      </c>
      <c r="AJ80" s="334" t="str">
        <f>IFERROR(VLOOKUP((CONCATENATE(AG80,AI80)),Listados!$U$3:$V$11,2,FALSE),"")</f>
        <v>Fuerte</v>
      </c>
      <c r="AK80" s="334">
        <f t="shared" ref="AK80:AK139" si="148">IF(AJ80="","",IF(AJ80="Débil", 0, IF(AJ80="Moderado",50,100)))</f>
        <v>100</v>
      </c>
      <c r="AL80" s="558"/>
      <c r="AM80" s="558"/>
      <c r="AN80" s="558"/>
      <c r="AO80" s="558"/>
      <c r="AP80" s="567"/>
      <c r="AQ80" s="567"/>
      <c r="AR80" s="565"/>
      <c r="AS80" s="565"/>
      <c r="AT80" s="565"/>
      <c r="AU80" s="565"/>
      <c r="AV80" s="336" t="s">
        <v>283</v>
      </c>
      <c r="AW80" s="336"/>
      <c r="AX80" s="336"/>
      <c r="AY80" s="336"/>
      <c r="AZ80" s="336"/>
      <c r="BA80" s="336"/>
      <c r="BB80" s="356" t="s">
        <v>395</v>
      </c>
      <c r="BC80" s="812"/>
      <c r="BD80" s="790"/>
      <c r="BE80" s="645"/>
      <c r="BF80" s="648"/>
      <c r="BG80" s="651"/>
    </row>
    <row r="81" spans="1:59">
      <c r="A81" s="636"/>
      <c r="B81" s="639"/>
      <c r="C81" s="642"/>
      <c r="D81" s="572"/>
      <c r="E81" s="572"/>
      <c r="F81" s="572"/>
      <c r="G81" s="357"/>
      <c r="H81" s="328"/>
      <c r="I81" s="350"/>
      <c r="J81" s="572"/>
      <c r="K81" s="565"/>
      <c r="L81" s="573"/>
      <c r="M81" s="565"/>
      <c r="N81" s="565"/>
      <c r="O81" s="358"/>
      <c r="P81" s="330"/>
      <c r="Q81" s="348"/>
      <c r="R81" s="332"/>
      <c r="S81" s="333" t="str">
        <f t="shared" si="138"/>
        <v>0</v>
      </c>
      <c r="T81" s="332"/>
      <c r="U81" s="333" t="str">
        <f t="shared" si="139"/>
        <v>0</v>
      </c>
      <c r="V81" s="332"/>
      <c r="W81" s="333" t="str">
        <f t="shared" si="140"/>
        <v>0</v>
      </c>
      <c r="X81" s="332"/>
      <c r="Y81" s="333" t="str">
        <f t="shared" si="141"/>
        <v>0</v>
      </c>
      <c r="Z81" s="332"/>
      <c r="AA81" s="333" t="str">
        <f t="shared" si="142"/>
        <v>0</v>
      </c>
      <c r="AB81" s="332"/>
      <c r="AC81" s="333" t="str">
        <f t="shared" si="143"/>
        <v>0</v>
      </c>
      <c r="AD81" s="332"/>
      <c r="AE81" s="333" t="str">
        <f t="shared" si="144"/>
        <v>0</v>
      </c>
      <c r="AF81" s="334" t="str">
        <f t="shared" si="145"/>
        <v/>
      </c>
      <c r="AG81" s="334" t="str">
        <f t="shared" si="146"/>
        <v/>
      </c>
      <c r="AH81" s="335"/>
      <c r="AI81" s="334" t="str">
        <f t="shared" si="147"/>
        <v/>
      </c>
      <c r="AJ81" s="334" t="str">
        <f>IFERROR(VLOOKUP((CONCATENATE(AG81,AI81)),Listados!$U$3:$V$11,2,FALSE),"")</f>
        <v/>
      </c>
      <c r="AK81" s="334" t="str">
        <f t="shared" si="148"/>
        <v/>
      </c>
      <c r="AL81" s="558"/>
      <c r="AM81" s="558"/>
      <c r="AN81" s="558"/>
      <c r="AO81" s="558"/>
      <c r="AP81" s="567"/>
      <c r="AQ81" s="567"/>
      <c r="AR81" s="565"/>
      <c r="AS81" s="565"/>
      <c r="AT81" s="565"/>
      <c r="AU81" s="565"/>
      <c r="AV81" s="336"/>
      <c r="AW81" s="336"/>
      <c r="AX81" s="339"/>
      <c r="AY81" s="339"/>
      <c r="AZ81" s="336"/>
      <c r="BA81" s="336"/>
      <c r="BB81" s="336"/>
      <c r="BC81" s="812"/>
      <c r="BD81" s="790"/>
      <c r="BE81" s="645"/>
      <c r="BF81" s="648"/>
      <c r="BG81" s="651"/>
    </row>
    <row r="82" spans="1:59">
      <c r="A82" s="637"/>
      <c r="B82" s="640"/>
      <c r="C82" s="643"/>
      <c r="D82" s="586"/>
      <c r="E82" s="586"/>
      <c r="F82" s="586"/>
      <c r="G82" s="180"/>
      <c r="H82" s="100"/>
      <c r="I82" s="257"/>
      <c r="J82" s="586"/>
      <c r="K82" s="570"/>
      <c r="L82" s="587"/>
      <c r="M82" s="570"/>
      <c r="N82" s="570"/>
      <c r="O82" s="178"/>
      <c r="P82" s="73"/>
      <c r="Q82" s="269"/>
      <c r="R82" s="260"/>
      <c r="S82" s="261" t="str">
        <f t="shared" si="138"/>
        <v>0</v>
      </c>
      <c r="T82" s="260"/>
      <c r="U82" s="261" t="str">
        <f t="shared" si="139"/>
        <v>0</v>
      </c>
      <c r="V82" s="260"/>
      <c r="W82" s="261" t="str">
        <f t="shared" si="140"/>
        <v>0</v>
      </c>
      <c r="X82" s="260"/>
      <c r="Y82" s="261" t="str">
        <f t="shared" si="141"/>
        <v>0</v>
      </c>
      <c r="Z82" s="260"/>
      <c r="AA82" s="261" t="str">
        <f t="shared" si="142"/>
        <v>0</v>
      </c>
      <c r="AB82" s="260"/>
      <c r="AC82" s="261" t="str">
        <f t="shared" si="143"/>
        <v>0</v>
      </c>
      <c r="AD82" s="260"/>
      <c r="AE82" s="261" t="str">
        <f t="shared" si="144"/>
        <v>0</v>
      </c>
      <c r="AF82" s="262" t="str">
        <f t="shared" si="145"/>
        <v/>
      </c>
      <c r="AG82" s="262" t="str">
        <f t="shared" si="146"/>
        <v/>
      </c>
      <c r="AH82" s="263"/>
      <c r="AI82" s="262" t="str">
        <f t="shared" si="147"/>
        <v/>
      </c>
      <c r="AJ82" s="262" t="str">
        <f>IFERROR(VLOOKUP((CONCATENATE(AG82,AI82)),Listados!$U$3:$V$11,2,FALSE),"")</f>
        <v/>
      </c>
      <c r="AK82" s="262" t="str">
        <f t="shared" si="148"/>
        <v/>
      </c>
      <c r="AL82" s="560"/>
      <c r="AM82" s="560"/>
      <c r="AN82" s="560"/>
      <c r="AO82" s="560"/>
      <c r="AP82" s="568"/>
      <c r="AQ82" s="568"/>
      <c r="AR82" s="570"/>
      <c r="AS82" s="570"/>
      <c r="AT82" s="570"/>
      <c r="AU82" s="570"/>
      <c r="AV82" s="249"/>
      <c r="AW82" s="249"/>
      <c r="AX82" s="250"/>
      <c r="AY82" s="250"/>
      <c r="AZ82" s="249"/>
      <c r="BA82" s="249"/>
      <c r="BB82" s="169"/>
      <c r="BC82" s="813"/>
      <c r="BD82" s="791"/>
      <c r="BE82" s="646"/>
      <c r="BF82" s="649"/>
      <c r="BG82" s="652"/>
    </row>
    <row r="83" spans="1:59" ht="146.25" customHeight="1">
      <c r="A83" s="635">
        <v>19</v>
      </c>
      <c r="B83" s="638" t="s">
        <v>347</v>
      </c>
      <c r="C83" s="691" t="s">
        <v>363</v>
      </c>
      <c r="D83" s="584" t="s">
        <v>396</v>
      </c>
      <c r="E83" s="584" t="s">
        <v>221</v>
      </c>
      <c r="F83" s="584" t="s">
        <v>307</v>
      </c>
      <c r="G83" s="92" t="s">
        <v>397</v>
      </c>
      <c r="H83" s="128" t="s">
        <v>67</v>
      </c>
      <c r="I83" s="128" t="s">
        <v>398</v>
      </c>
      <c r="J83" s="584" t="s">
        <v>88</v>
      </c>
      <c r="K83" s="569">
        <f>+VLOOKUP(J83,Listados!$K$8:$L$12,2,0)</f>
        <v>3</v>
      </c>
      <c r="L83" s="585" t="s">
        <v>89</v>
      </c>
      <c r="M83" s="569">
        <f>+VLOOKUP(L83,Listados!$K$13:$L$17,2,0)</f>
        <v>3</v>
      </c>
      <c r="N83" s="569" t="str">
        <f>IF(AND(J83&lt;&gt;"",L83&lt;&gt;""),VLOOKUP(J83&amp;L83,Listados!$M$3:$N$27,2,FALSE),"")</f>
        <v>Alto</v>
      </c>
      <c r="O83" s="141" t="s">
        <v>399</v>
      </c>
      <c r="P83" s="105" t="s">
        <v>397</v>
      </c>
      <c r="Q83" s="130" t="s">
        <v>72</v>
      </c>
      <c r="R83" s="94" t="s">
        <v>73</v>
      </c>
      <c r="S83" s="93">
        <f t="shared" si="138"/>
        <v>15</v>
      </c>
      <c r="T83" s="94" t="s">
        <v>73</v>
      </c>
      <c r="U83" s="93">
        <f t="shared" si="139"/>
        <v>15</v>
      </c>
      <c r="V83" s="94" t="s">
        <v>73</v>
      </c>
      <c r="W83" s="93">
        <f t="shared" si="140"/>
        <v>15</v>
      </c>
      <c r="X83" s="94" t="s">
        <v>72</v>
      </c>
      <c r="Y83" s="93">
        <f t="shared" si="141"/>
        <v>15</v>
      </c>
      <c r="Z83" s="94" t="s">
        <v>73</v>
      </c>
      <c r="AA83" s="93">
        <f t="shared" si="142"/>
        <v>15</v>
      </c>
      <c r="AB83" s="94" t="s">
        <v>73</v>
      </c>
      <c r="AC83" s="93">
        <f t="shared" si="143"/>
        <v>15</v>
      </c>
      <c r="AD83" s="94" t="s">
        <v>74</v>
      </c>
      <c r="AE83" s="93">
        <f t="shared" si="144"/>
        <v>10</v>
      </c>
      <c r="AF83" s="96">
        <f t="shared" si="145"/>
        <v>100</v>
      </c>
      <c r="AG83" s="96" t="str">
        <f t="shared" si="146"/>
        <v>Fuerte</v>
      </c>
      <c r="AH83" s="107" t="s">
        <v>75</v>
      </c>
      <c r="AI83" s="96" t="str">
        <f t="shared" si="147"/>
        <v>Fuerte</v>
      </c>
      <c r="AJ83" s="96" t="str">
        <f>IFERROR(VLOOKUP((CONCATENATE(AG83,AI83)),Listados!$U$3:$V$11,2,FALSE),"")</f>
        <v>Fuerte</v>
      </c>
      <c r="AK83" s="96">
        <f t="shared" si="148"/>
        <v>100</v>
      </c>
      <c r="AL83" s="559">
        <f t="shared" ref="AL83" si="149">AVERAGE(AK83:AK86)</f>
        <v>100</v>
      </c>
      <c r="AM83" s="559" t="str">
        <f t="shared" ref="AM83" si="150">IF(AL83&lt;=50,"Débil",IF(AL83&lt;=99,"Moderado",IF(AL83=100,"fuerte","")))</f>
        <v>fuerte</v>
      </c>
      <c r="AN83" s="559">
        <f t="shared" ref="AN83" si="151">+IF(AND(Q83="Preventivo",AM83="Fuerte"),2,IF(AND(Q83="Preventivo",AM83="Moderado"),1,0))</f>
        <v>2</v>
      </c>
      <c r="AO83" s="559">
        <f t="shared" ref="AO83" si="152">+IF(AND(Q83="Detectivo",$AM83="Fuerte"),2,IF(AND(Q83="Detectivo",$AM83="Moderado"),1,IF(AND(Q83="Preventivo",$AM83="Fuerte"),1,0)))</f>
        <v>1</v>
      </c>
      <c r="AP83" s="566">
        <f t="shared" ref="AP83" si="153">+K83-AN83</f>
        <v>1</v>
      </c>
      <c r="AQ83" s="566">
        <f t="shared" ref="AQ83" si="154">+M83-AO83</f>
        <v>2</v>
      </c>
      <c r="AR83" s="569" t="str">
        <f>+VLOOKUP(MIN(AP83),Listados!$J$18:$K$24,2,TRUE)</f>
        <v>Rara Vez</v>
      </c>
      <c r="AS83" s="569" t="str">
        <f>+VLOOKUP(MIN(AQ83),Listados!$J$26:$K$32,2,TRUE)</f>
        <v>Menor</v>
      </c>
      <c r="AT83" s="569" t="str">
        <f>IF(AND(AR83&lt;&gt;"",AS83&lt;&gt;""),VLOOKUP(AR83&amp;AS83,Listados!$M$3:$N$27,2,FALSE),"")</f>
        <v>Bajo</v>
      </c>
      <c r="AU83" s="569" t="str">
        <f>+VLOOKUP(AT83,Listados!$P$3:$Q$6,2,FALSE)</f>
        <v>Asumir el riesgo</v>
      </c>
      <c r="AV83" s="97" t="s">
        <v>368</v>
      </c>
      <c r="AW83" s="97"/>
      <c r="AX83" s="98"/>
      <c r="AY83" s="99"/>
      <c r="AZ83" s="97"/>
      <c r="BA83" s="97"/>
      <c r="BB83" s="355" t="s">
        <v>400</v>
      </c>
      <c r="BC83" s="814" t="s">
        <v>401</v>
      </c>
      <c r="BD83" s="789"/>
      <c r="BE83" s="644" t="s">
        <v>402</v>
      </c>
      <c r="BF83" s="647" t="s">
        <v>1616</v>
      </c>
      <c r="BG83" s="650"/>
    </row>
    <row r="84" spans="1:59" ht="165" customHeight="1">
      <c r="A84" s="636"/>
      <c r="B84" s="639"/>
      <c r="C84" s="661"/>
      <c r="D84" s="572"/>
      <c r="E84" s="572"/>
      <c r="F84" s="572"/>
      <c r="G84" s="329" t="s">
        <v>403</v>
      </c>
      <c r="H84" s="337" t="s">
        <v>67</v>
      </c>
      <c r="I84" s="337" t="s">
        <v>404</v>
      </c>
      <c r="J84" s="572"/>
      <c r="K84" s="565"/>
      <c r="L84" s="573"/>
      <c r="M84" s="565"/>
      <c r="N84" s="565"/>
      <c r="O84" s="337" t="s">
        <v>405</v>
      </c>
      <c r="P84" s="330" t="s">
        <v>397</v>
      </c>
      <c r="Q84" s="350" t="s">
        <v>72</v>
      </c>
      <c r="R84" s="332" t="s">
        <v>73</v>
      </c>
      <c r="S84" s="333">
        <f t="shared" si="138"/>
        <v>15</v>
      </c>
      <c r="T84" s="332" t="s">
        <v>73</v>
      </c>
      <c r="U84" s="333">
        <f t="shared" si="139"/>
        <v>15</v>
      </c>
      <c r="V84" s="332" t="s">
        <v>73</v>
      </c>
      <c r="W84" s="333">
        <f t="shared" si="140"/>
        <v>15</v>
      </c>
      <c r="X84" s="332" t="s">
        <v>72</v>
      </c>
      <c r="Y84" s="333">
        <f t="shared" si="141"/>
        <v>15</v>
      </c>
      <c r="Z84" s="332" t="s">
        <v>73</v>
      </c>
      <c r="AA84" s="333">
        <f t="shared" si="142"/>
        <v>15</v>
      </c>
      <c r="AB84" s="332" t="s">
        <v>73</v>
      </c>
      <c r="AC84" s="333">
        <f t="shared" si="143"/>
        <v>15</v>
      </c>
      <c r="AD84" s="332" t="s">
        <v>74</v>
      </c>
      <c r="AE84" s="333">
        <f t="shared" si="144"/>
        <v>10</v>
      </c>
      <c r="AF84" s="334">
        <f t="shared" si="145"/>
        <v>100</v>
      </c>
      <c r="AG84" s="334" t="str">
        <f t="shared" si="146"/>
        <v>Fuerte</v>
      </c>
      <c r="AH84" s="335" t="s">
        <v>75</v>
      </c>
      <c r="AI84" s="334" t="str">
        <f t="shared" si="147"/>
        <v>Fuerte</v>
      </c>
      <c r="AJ84" s="334" t="str">
        <f>IFERROR(VLOOKUP((CONCATENATE(AG84,AI84)),Listados!$U$3:$V$11,2,FALSE),"")</f>
        <v>Fuerte</v>
      </c>
      <c r="AK84" s="334">
        <f t="shared" si="148"/>
        <v>100</v>
      </c>
      <c r="AL84" s="558"/>
      <c r="AM84" s="558"/>
      <c r="AN84" s="558"/>
      <c r="AO84" s="558"/>
      <c r="AP84" s="567"/>
      <c r="AQ84" s="567"/>
      <c r="AR84" s="565"/>
      <c r="AS84" s="565"/>
      <c r="AT84" s="565"/>
      <c r="AU84" s="565"/>
      <c r="AV84" s="336" t="s">
        <v>283</v>
      </c>
      <c r="AW84" s="336"/>
      <c r="AX84" s="336"/>
      <c r="AY84" s="336"/>
      <c r="AZ84" s="336"/>
      <c r="BA84" s="336"/>
      <c r="BB84" s="355" t="s">
        <v>406</v>
      </c>
      <c r="BC84" s="812"/>
      <c r="BD84" s="790"/>
      <c r="BE84" s="645"/>
      <c r="BF84" s="648"/>
      <c r="BG84" s="651"/>
    </row>
    <row r="85" spans="1:59">
      <c r="A85" s="636"/>
      <c r="B85" s="639"/>
      <c r="C85" s="661"/>
      <c r="D85" s="572"/>
      <c r="E85" s="572"/>
      <c r="F85" s="572"/>
      <c r="G85" s="329"/>
      <c r="H85" s="337"/>
      <c r="I85" s="337"/>
      <c r="J85" s="572"/>
      <c r="K85" s="565"/>
      <c r="L85" s="573"/>
      <c r="M85" s="565"/>
      <c r="N85" s="565"/>
      <c r="O85" s="347"/>
      <c r="P85" s="338"/>
      <c r="Q85" s="348"/>
      <c r="R85" s="332"/>
      <c r="S85" s="333" t="str">
        <f t="shared" si="138"/>
        <v>0</v>
      </c>
      <c r="T85" s="332"/>
      <c r="U85" s="333" t="str">
        <f t="shared" si="139"/>
        <v>0</v>
      </c>
      <c r="V85" s="332"/>
      <c r="W85" s="333" t="str">
        <f t="shared" si="140"/>
        <v>0</v>
      </c>
      <c r="X85" s="332"/>
      <c r="Y85" s="333" t="str">
        <f t="shared" si="141"/>
        <v>0</v>
      </c>
      <c r="Z85" s="332"/>
      <c r="AA85" s="333" t="str">
        <f t="shared" si="142"/>
        <v>0</v>
      </c>
      <c r="AB85" s="332"/>
      <c r="AC85" s="333" t="str">
        <f t="shared" si="143"/>
        <v>0</v>
      </c>
      <c r="AD85" s="332"/>
      <c r="AE85" s="333" t="str">
        <f t="shared" si="144"/>
        <v>0</v>
      </c>
      <c r="AF85" s="334" t="str">
        <f t="shared" si="145"/>
        <v/>
      </c>
      <c r="AG85" s="334" t="str">
        <f t="shared" si="146"/>
        <v/>
      </c>
      <c r="AH85" s="335"/>
      <c r="AI85" s="334" t="str">
        <f t="shared" si="147"/>
        <v/>
      </c>
      <c r="AJ85" s="334" t="str">
        <f>IFERROR(VLOOKUP((CONCATENATE(AG85,AI85)),Listados!$U$3:$V$11,2,FALSE),"")</f>
        <v/>
      </c>
      <c r="AK85" s="334" t="str">
        <f t="shared" si="148"/>
        <v/>
      </c>
      <c r="AL85" s="558"/>
      <c r="AM85" s="558"/>
      <c r="AN85" s="558"/>
      <c r="AO85" s="558"/>
      <c r="AP85" s="567"/>
      <c r="AQ85" s="567"/>
      <c r="AR85" s="565"/>
      <c r="AS85" s="565"/>
      <c r="AT85" s="565"/>
      <c r="AU85" s="565"/>
      <c r="AV85" s="336"/>
      <c r="AW85" s="336"/>
      <c r="AX85" s="339"/>
      <c r="AY85" s="339"/>
      <c r="AZ85" s="336"/>
      <c r="BA85" s="336"/>
      <c r="BB85" s="168"/>
      <c r="BC85" s="812"/>
      <c r="BD85" s="790"/>
      <c r="BE85" s="645"/>
      <c r="BF85" s="648"/>
      <c r="BG85" s="651"/>
    </row>
    <row r="86" spans="1:59">
      <c r="A86" s="637"/>
      <c r="B86" s="640"/>
      <c r="C86" s="662"/>
      <c r="D86" s="586"/>
      <c r="E86" s="586"/>
      <c r="F86" s="586"/>
      <c r="G86" s="256"/>
      <c r="H86" s="257"/>
      <c r="I86" s="257"/>
      <c r="J86" s="586"/>
      <c r="K86" s="570"/>
      <c r="L86" s="587"/>
      <c r="M86" s="570"/>
      <c r="N86" s="570"/>
      <c r="O86" s="258"/>
      <c r="P86" s="259"/>
      <c r="Q86" s="269"/>
      <c r="R86" s="260"/>
      <c r="S86" s="261" t="str">
        <f t="shared" si="138"/>
        <v>0</v>
      </c>
      <c r="T86" s="260"/>
      <c r="U86" s="261" t="str">
        <f t="shared" si="139"/>
        <v>0</v>
      </c>
      <c r="V86" s="260"/>
      <c r="W86" s="261" t="str">
        <f t="shared" si="140"/>
        <v>0</v>
      </c>
      <c r="X86" s="260"/>
      <c r="Y86" s="261" t="str">
        <f t="shared" si="141"/>
        <v>0</v>
      </c>
      <c r="Z86" s="260"/>
      <c r="AA86" s="261" t="str">
        <f t="shared" si="142"/>
        <v>0</v>
      </c>
      <c r="AB86" s="260"/>
      <c r="AC86" s="261" t="str">
        <f t="shared" si="143"/>
        <v>0</v>
      </c>
      <c r="AD86" s="260"/>
      <c r="AE86" s="261" t="str">
        <f t="shared" si="144"/>
        <v>0</v>
      </c>
      <c r="AF86" s="262" t="str">
        <f t="shared" si="145"/>
        <v/>
      </c>
      <c r="AG86" s="262" t="str">
        <f t="shared" si="146"/>
        <v/>
      </c>
      <c r="AH86" s="263"/>
      <c r="AI86" s="262" t="str">
        <f t="shared" si="147"/>
        <v/>
      </c>
      <c r="AJ86" s="262" t="str">
        <f>IFERROR(VLOOKUP((CONCATENATE(AG86,AI86)),Listados!$U$3:$V$11,2,FALSE),"")</f>
        <v/>
      </c>
      <c r="AK86" s="262" t="str">
        <f t="shared" si="148"/>
        <v/>
      </c>
      <c r="AL86" s="560"/>
      <c r="AM86" s="560"/>
      <c r="AN86" s="560"/>
      <c r="AO86" s="560"/>
      <c r="AP86" s="568"/>
      <c r="AQ86" s="568"/>
      <c r="AR86" s="570"/>
      <c r="AS86" s="570"/>
      <c r="AT86" s="570"/>
      <c r="AU86" s="570"/>
      <c r="AV86" s="249"/>
      <c r="AW86" s="249"/>
      <c r="AX86" s="250"/>
      <c r="AY86" s="250"/>
      <c r="AZ86" s="249"/>
      <c r="BA86" s="249"/>
      <c r="BB86" s="169"/>
      <c r="BC86" s="812"/>
      <c r="BD86" s="791"/>
      <c r="BE86" s="646"/>
      <c r="BF86" s="649"/>
      <c r="BG86" s="652"/>
    </row>
    <row r="87" spans="1:59" ht="156.75">
      <c r="A87" s="635">
        <v>20</v>
      </c>
      <c r="B87" s="638" t="s">
        <v>275</v>
      </c>
      <c r="C87" s="691" t="s">
        <v>407</v>
      </c>
      <c r="D87" s="584" t="s">
        <v>408</v>
      </c>
      <c r="E87" s="584" t="s">
        <v>278</v>
      </c>
      <c r="F87" s="584" t="s">
        <v>409</v>
      </c>
      <c r="G87" s="181" t="s">
        <v>410</v>
      </c>
      <c r="H87" s="130" t="s">
        <v>67</v>
      </c>
      <c r="I87" s="130" t="s">
        <v>411</v>
      </c>
      <c r="J87" s="584" t="s">
        <v>412</v>
      </c>
      <c r="K87" s="569">
        <f>+VLOOKUP(J87,Listados!$K$8:$L$12,2,0)</f>
        <v>1</v>
      </c>
      <c r="L87" s="585" t="s">
        <v>70</v>
      </c>
      <c r="M87" s="569">
        <f>+VLOOKUP(L87,Listados!$K$13:$L$17,2,0)</f>
        <v>2</v>
      </c>
      <c r="N87" s="569" t="str">
        <f>IF(AND(J87&lt;&gt;"",L87&lt;&gt;""),VLOOKUP(J87&amp;L87,Listados!$M$3:$N$27,2,FALSE),"")</f>
        <v>Bajo</v>
      </c>
      <c r="O87" s="179" t="s">
        <v>413</v>
      </c>
      <c r="P87" s="105" t="s">
        <v>410</v>
      </c>
      <c r="Q87" s="130" t="s">
        <v>72</v>
      </c>
      <c r="R87" s="94" t="s">
        <v>73</v>
      </c>
      <c r="S87" s="93">
        <f t="shared" si="138"/>
        <v>15</v>
      </c>
      <c r="T87" s="94" t="s">
        <v>73</v>
      </c>
      <c r="U87" s="93">
        <f t="shared" si="139"/>
        <v>15</v>
      </c>
      <c r="V87" s="94" t="s">
        <v>73</v>
      </c>
      <c r="W87" s="93">
        <f t="shared" si="140"/>
        <v>15</v>
      </c>
      <c r="X87" s="94" t="s">
        <v>72</v>
      </c>
      <c r="Y87" s="93">
        <f t="shared" si="141"/>
        <v>15</v>
      </c>
      <c r="Z87" s="94" t="s">
        <v>73</v>
      </c>
      <c r="AA87" s="93">
        <f t="shared" si="142"/>
        <v>15</v>
      </c>
      <c r="AB87" s="94" t="s">
        <v>73</v>
      </c>
      <c r="AC87" s="93">
        <f t="shared" si="143"/>
        <v>15</v>
      </c>
      <c r="AD87" s="94" t="s">
        <v>74</v>
      </c>
      <c r="AE87" s="93">
        <f t="shared" si="144"/>
        <v>10</v>
      </c>
      <c r="AF87" s="96">
        <f t="shared" si="145"/>
        <v>100</v>
      </c>
      <c r="AG87" s="96" t="str">
        <f t="shared" si="146"/>
        <v>Fuerte</v>
      </c>
      <c r="AH87" s="107" t="s">
        <v>75</v>
      </c>
      <c r="AI87" s="96" t="str">
        <f t="shared" si="147"/>
        <v>Fuerte</v>
      </c>
      <c r="AJ87" s="96" t="str">
        <f>IFERROR(VLOOKUP((CONCATENATE(AG87,AI87)),Listados!$U$3:$V$11,2,FALSE),"")</f>
        <v>Fuerte</v>
      </c>
      <c r="AK87" s="96">
        <f t="shared" si="148"/>
        <v>100</v>
      </c>
      <c r="AL87" s="559">
        <f t="shared" ref="AL87" si="155">AVERAGE(AK87:AK90)</f>
        <v>83.333333333333329</v>
      </c>
      <c r="AM87" s="559" t="str">
        <f t="shared" ref="AM87" si="156">IF(AL87&lt;=50,"Débil",IF(AL87&lt;=99,"Moderado",IF(AL87=100,"fuerte","")))</f>
        <v>Moderado</v>
      </c>
      <c r="AN87" s="559">
        <f t="shared" ref="AN87" si="157">+IF(AND(Q87="Preventivo",AM87="Fuerte"),2,IF(AND(Q87="Preventivo",AM87="Moderado"),1,0))</f>
        <v>1</v>
      </c>
      <c r="AO87" s="559">
        <f t="shared" ref="AO87" si="158">+IF(AND(Q87="Detectivo",$AM87="Fuerte"),2,IF(AND(Q87="Detectivo",$AM87="Moderado"),1,IF(AND(Q87="Preventivo",$AM87="Fuerte"),1,0)))</f>
        <v>0</v>
      </c>
      <c r="AP87" s="566">
        <f t="shared" ref="AP87" si="159">+K87-AN87</f>
        <v>0</v>
      </c>
      <c r="AQ87" s="566">
        <f t="shared" ref="AQ87" si="160">+M87-AO87</f>
        <v>2</v>
      </c>
      <c r="AR87" s="569" t="str">
        <f>+VLOOKUP(MIN(AP87),Listados!$J$18:$K$24,2,TRUE)</f>
        <v>Rara Vez</v>
      </c>
      <c r="AS87" s="569" t="str">
        <f>+VLOOKUP(MIN(AQ87),Listados!$J$26:$K$32,2,TRUE)</f>
        <v>Menor</v>
      </c>
      <c r="AT87" s="569" t="str">
        <f>IF(AND(AR87&lt;&gt;"",AS87&lt;&gt;""),VLOOKUP(AR87&amp;AS87,Listados!$M$3:$N$27,2,FALSE),"")</f>
        <v>Bajo</v>
      </c>
      <c r="AU87" s="569" t="str">
        <f>+VLOOKUP(AT87,Listados!$P$3:$Q$6,2,FALSE)</f>
        <v>Asumir el riesgo</v>
      </c>
      <c r="AV87" s="120" t="s">
        <v>414</v>
      </c>
      <c r="AW87" s="97" t="s">
        <v>415</v>
      </c>
      <c r="AX87" s="122" t="s">
        <v>416</v>
      </c>
      <c r="AY87" s="122" t="s">
        <v>416</v>
      </c>
      <c r="AZ87" s="97" t="s">
        <v>417</v>
      </c>
      <c r="BA87" s="97" t="s">
        <v>418</v>
      </c>
      <c r="BB87" s="786" t="s">
        <v>419</v>
      </c>
      <c r="BC87" s="786" t="s">
        <v>420</v>
      </c>
      <c r="BD87" s="789"/>
      <c r="BE87" s="647" t="s">
        <v>421</v>
      </c>
      <c r="BF87" s="647" t="s">
        <v>1617</v>
      </c>
      <c r="BG87" s="650"/>
    </row>
    <row r="88" spans="1:59" ht="99.75">
      <c r="A88" s="636"/>
      <c r="B88" s="639"/>
      <c r="C88" s="661"/>
      <c r="D88" s="572"/>
      <c r="E88" s="572"/>
      <c r="F88" s="572"/>
      <c r="G88" s="357" t="s">
        <v>422</v>
      </c>
      <c r="H88" s="350" t="s">
        <v>67</v>
      </c>
      <c r="I88" s="350" t="s">
        <v>136</v>
      </c>
      <c r="J88" s="572"/>
      <c r="K88" s="565"/>
      <c r="L88" s="573"/>
      <c r="M88" s="565"/>
      <c r="N88" s="565"/>
      <c r="O88" s="358" t="s">
        <v>423</v>
      </c>
      <c r="P88" s="73" t="s">
        <v>422</v>
      </c>
      <c r="Q88" s="350" t="s">
        <v>83</v>
      </c>
      <c r="R88" s="332" t="s">
        <v>73</v>
      </c>
      <c r="S88" s="333">
        <f t="shared" si="138"/>
        <v>15</v>
      </c>
      <c r="T88" s="332" t="s">
        <v>73</v>
      </c>
      <c r="U88" s="333">
        <f t="shared" si="139"/>
        <v>15</v>
      </c>
      <c r="V88" s="332" t="s">
        <v>73</v>
      </c>
      <c r="W88" s="333">
        <f t="shared" si="140"/>
        <v>15</v>
      </c>
      <c r="X88" s="332" t="s">
        <v>83</v>
      </c>
      <c r="Y88" s="333">
        <f t="shared" si="141"/>
        <v>10</v>
      </c>
      <c r="Z88" s="332" t="s">
        <v>73</v>
      </c>
      <c r="AA88" s="333">
        <f t="shared" si="142"/>
        <v>15</v>
      </c>
      <c r="AB88" s="332" t="s">
        <v>73</v>
      </c>
      <c r="AC88" s="333">
        <f t="shared" si="143"/>
        <v>15</v>
      </c>
      <c r="AD88" s="332" t="s">
        <v>74</v>
      </c>
      <c r="AE88" s="333">
        <f t="shared" si="144"/>
        <v>10</v>
      </c>
      <c r="AF88" s="334">
        <f t="shared" si="145"/>
        <v>95</v>
      </c>
      <c r="AG88" s="334" t="str">
        <f t="shared" si="146"/>
        <v>Moderado</v>
      </c>
      <c r="AH88" s="335" t="s">
        <v>75</v>
      </c>
      <c r="AI88" s="334" t="str">
        <f t="shared" si="147"/>
        <v>Fuerte</v>
      </c>
      <c r="AJ88" s="334" t="str">
        <f>IFERROR(VLOOKUP((CONCATENATE(AG88,AI88)),Listados!$U$3:$V$11,2,FALSE),"")</f>
        <v>Moderado</v>
      </c>
      <c r="AK88" s="334">
        <f t="shared" si="148"/>
        <v>50</v>
      </c>
      <c r="AL88" s="558"/>
      <c r="AM88" s="558"/>
      <c r="AN88" s="558"/>
      <c r="AO88" s="558"/>
      <c r="AP88" s="567"/>
      <c r="AQ88" s="567"/>
      <c r="AR88" s="565"/>
      <c r="AS88" s="565"/>
      <c r="AT88" s="565"/>
      <c r="AU88" s="565"/>
      <c r="AV88" s="336"/>
      <c r="AW88" s="336"/>
      <c r="AX88" s="336"/>
      <c r="AY88" s="336"/>
      <c r="AZ88" s="336"/>
      <c r="BA88" s="336"/>
      <c r="BB88" s="787"/>
      <c r="BC88" s="787"/>
      <c r="BD88" s="790"/>
      <c r="BE88" s="648"/>
      <c r="BF88" s="770"/>
      <c r="BG88" s="651"/>
    </row>
    <row r="89" spans="1:59" ht="99.75">
      <c r="A89" s="636"/>
      <c r="B89" s="639"/>
      <c r="C89" s="661"/>
      <c r="D89" s="572"/>
      <c r="E89" s="572"/>
      <c r="F89" s="572"/>
      <c r="G89" s="357" t="s">
        <v>424</v>
      </c>
      <c r="H89" s="350" t="s">
        <v>67</v>
      </c>
      <c r="I89" s="350" t="s">
        <v>136</v>
      </c>
      <c r="J89" s="572"/>
      <c r="K89" s="565"/>
      <c r="L89" s="573"/>
      <c r="M89" s="565"/>
      <c r="N89" s="565"/>
      <c r="O89" s="358" t="s">
        <v>425</v>
      </c>
      <c r="P89" s="73" t="s">
        <v>424</v>
      </c>
      <c r="Q89" s="348" t="s">
        <v>72</v>
      </c>
      <c r="R89" s="332" t="s">
        <v>73</v>
      </c>
      <c r="S89" s="333">
        <f t="shared" si="138"/>
        <v>15</v>
      </c>
      <c r="T89" s="332" t="s">
        <v>73</v>
      </c>
      <c r="U89" s="333">
        <f t="shared" si="139"/>
        <v>15</v>
      </c>
      <c r="V89" s="332" t="s">
        <v>73</v>
      </c>
      <c r="W89" s="333">
        <f t="shared" si="140"/>
        <v>15</v>
      </c>
      <c r="X89" s="332" t="s">
        <v>72</v>
      </c>
      <c r="Y89" s="333">
        <f t="shared" si="141"/>
        <v>15</v>
      </c>
      <c r="Z89" s="332" t="s">
        <v>73</v>
      </c>
      <c r="AA89" s="333">
        <f t="shared" si="142"/>
        <v>15</v>
      </c>
      <c r="AB89" s="332" t="s">
        <v>73</v>
      </c>
      <c r="AC89" s="333">
        <f t="shared" si="143"/>
        <v>15</v>
      </c>
      <c r="AD89" s="332" t="s">
        <v>74</v>
      </c>
      <c r="AE89" s="333">
        <f t="shared" si="144"/>
        <v>10</v>
      </c>
      <c r="AF89" s="334">
        <f t="shared" si="145"/>
        <v>100</v>
      </c>
      <c r="AG89" s="334" t="str">
        <f t="shared" si="146"/>
        <v>Fuerte</v>
      </c>
      <c r="AH89" s="335" t="s">
        <v>75</v>
      </c>
      <c r="AI89" s="334" t="str">
        <f t="shared" si="147"/>
        <v>Fuerte</v>
      </c>
      <c r="AJ89" s="334" t="str">
        <f>IFERROR(VLOOKUP((CONCATENATE(AG89,AI89)),Listados!$U$3:$V$11,2,FALSE),"")</f>
        <v>Fuerte</v>
      </c>
      <c r="AK89" s="334">
        <f t="shared" si="148"/>
        <v>100</v>
      </c>
      <c r="AL89" s="558"/>
      <c r="AM89" s="558"/>
      <c r="AN89" s="558"/>
      <c r="AO89" s="558"/>
      <c r="AP89" s="567"/>
      <c r="AQ89" s="567"/>
      <c r="AR89" s="565"/>
      <c r="AS89" s="565"/>
      <c r="AT89" s="565"/>
      <c r="AU89" s="565"/>
      <c r="AV89" s="336"/>
      <c r="AW89" s="336"/>
      <c r="AX89" s="339"/>
      <c r="AY89" s="339"/>
      <c r="AZ89" s="336"/>
      <c r="BA89" s="336"/>
      <c r="BB89" s="787"/>
      <c r="BC89" s="787"/>
      <c r="BD89" s="790"/>
      <c r="BE89" s="648"/>
      <c r="BF89" s="770"/>
      <c r="BG89" s="651"/>
    </row>
    <row r="90" spans="1:59">
      <c r="A90" s="637"/>
      <c r="B90" s="640"/>
      <c r="C90" s="662"/>
      <c r="D90" s="586"/>
      <c r="E90" s="586"/>
      <c r="F90" s="586"/>
      <c r="G90" s="256"/>
      <c r="H90" s="257"/>
      <c r="I90" s="257"/>
      <c r="J90" s="586"/>
      <c r="K90" s="570"/>
      <c r="L90" s="587"/>
      <c r="M90" s="570"/>
      <c r="N90" s="570"/>
      <c r="O90" s="258"/>
      <c r="P90" s="146"/>
      <c r="Q90" s="269"/>
      <c r="R90" s="260"/>
      <c r="S90" s="261" t="str">
        <f t="shared" si="138"/>
        <v>0</v>
      </c>
      <c r="T90" s="260"/>
      <c r="U90" s="261" t="str">
        <f t="shared" si="139"/>
        <v>0</v>
      </c>
      <c r="V90" s="260"/>
      <c r="W90" s="261" t="str">
        <f t="shared" si="140"/>
        <v>0</v>
      </c>
      <c r="X90" s="260"/>
      <c r="Y90" s="261" t="str">
        <f t="shared" si="141"/>
        <v>0</v>
      </c>
      <c r="Z90" s="260"/>
      <c r="AA90" s="261" t="str">
        <f t="shared" si="142"/>
        <v>0</v>
      </c>
      <c r="AB90" s="260"/>
      <c r="AC90" s="261" t="str">
        <f t="shared" si="143"/>
        <v>0</v>
      </c>
      <c r="AD90" s="260"/>
      <c r="AE90" s="261" t="str">
        <f t="shared" si="144"/>
        <v>0</v>
      </c>
      <c r="AF90" s="262" t="str">
        <f t="shared" si="145"/>
        <v/>
      </c>
      <c r="AG90" s="262" t="str">
        <f t="shared" si="146"/>
        <v/>
      </c>
      <c r="AH90" s="263"/>
      <c r="AI90" s="262" t="str">
        <f t="shared" si="147"/>
        <v/>
      </c>
      <c r="AJ90" s="262" t="str">
        <f>IFERROR(VLOOKUP((CONCATENATE(AG90,AI90)),Listados!$U$3:$V$11,2,FALSE),"")</f>
        <v/>
      </c>
      <c r="AK90" s="262" t="str">
        <f t="shared" si="148"/>
        <v/>
      </c>
      <c r="AL90" s="560"/>
      <c r="AM90" s="560"/>
      <c r="AN90" s="560"/>
      <c r="AO90" s="560"/>
      <c r="AP90" s="568"/>
      <c r="AQ90" s="568"/>
      <c r="AR90" s="570"/>
      <c r="AS90" s="570"/>
      <c r="AT90" s="570"/>
      <c r="AU90" s="570"/>
      <c r="AV90" s="249"/>
      <c r="AW90" s="249"/>
      <c r="AX90" s="250"/>
      <c r="AY90" s="250"/>
      <c r="AZ90" s="249"/>
      <c r="BA90" s="249"/>
      <c r="BB90" s="788"/>
      <c r="BC90" s="788"/>
      <c r="BD90" s="791"/>
      <c r="BE90" s="649"/>
      <c r="BF90" s="771"/>
      <c r="BG90" s="652"/>
    </row>
    <row r="91" spans="1:59" ht="142.5" customHeight="1">
      <c r="A91" s="692">
        <v>21</v>
      </c>
      <c r="B91" s="659" t="s">
        <v>275</v>
      </c>
      <c r="C91" s="660" t="s">
        <v>407</v>
      </c>
      <c r="D91" s="574" t="s">
        <v>426</v>
      </c>
      <c r="E91" s="574" t="s">
        <v>278</v>
      </c>
      <c r="F91" s="574" t="s">
        <v>409</v>
      </c>
      <c r="G91" s="90" t="s">
        <v>427</v>
      </c>
      <c r="H91" s="90" t="s">
        <v>67</v>
      </c>
      <c r="I91" s="90" t="s">
        <v>428</v>
      </c>
      <c r="J91" s="574" t="s">
        <v>180</v>
      </c>
      <c r="K91" s="557">
        <f>+VLOOKUP(J91,Listados!$K$8:$L$12,2,0)</f>
        <v>2</v>
      </c>
      <c r="L91" s="555" t="s">
        <v>70</v>
      </c>
      <c r="M91" s="557">
        <f>+VLOOKUP(L91,Listados!$K$13:$L$17,2,0)</f>
        <v>2</v>
      </c>
      <c r="N91" s="557" t="str">
        <f>IF(AND(J91&lt;&gt;"",L91&lt;&gt;""),VLOOKUP(J91&amp;L91,Listados!$M$3:$N$27,2,FALSE),"")</f>
        <v>Bajo</v>
      </c>
      <c r="O91" s="144" t="s">
        <v>429</v>
      </c>
      <c r="P91" s="73" t="s">
        <v>427</v>
      </c>
      <c r="Q91" s="74" t="s">
        <v>72</v>
      </c>
      <c r="R91" s="44" t="s">
        <v>73</v>
      </c>
      <c r="S91" s="53">
        <f t="shared" si="138"/>
        <v>15</v>
      </c>
      <c r="T91" s="44" t="s">
        <v>73</v>
      </c>
      <c r="U91" s="53">
        <f t="shared" si="139"/>
        <v>15</v>
      </c>
      <c r="V91" s="44" t="s">
        <v>73</v>
      </c>
      <c r="W91" s="53">
        <f t="shared" si="140"/>
        <v>15</v>
      </c>
      <c r="X91" s="44" t="s">
        <v>72</v>
      </c>
      <c r="Y91" s="53">
        <f t="shared" si="141"/>
        <v>15</v>
      </c>
      <c r="Z91" s="44" t="s">
        <v>73</v>
      </c>
      <c r="AA91" s="53">
        <f t="shared" si="142"/>
        <v>15</v>
      </c>
      <c r="AB91" s="44" t="s">
        <v>73</v>
      </c>
      <c r="AC91" s="53">
        <f t="shared" si="143"/>
        <v>15</v>
      </c>
      <c r="AD91" s="44" t="s">
        <v>74</v>
      </c>
      <c r="AE91" s="53">
        <f t="shared" si="144"/>
        <v>10</v>
      </c>
      <c r="AF91" s="71">
        <f t="shared" si="145"/>
        <v>100</v>
      </c>
      <c r="AG91" s="71" t="str">
        <f t="shared" si="146"/>
        <v>Fuerte</v>
      </c>
      <c r="AH91" s="75" t="s">
        <v>75</v>
      </c>
      <c r="AI91" s="71" t="str">
        <f t="shared" si="147"/>
        <v>Fuerte</v>
      </c>
      <c r="AJ91" s="71" t="str">
        <f>IFERROR(VLOOKUP((CONCATENATE(AG91,AI91)),Listados!$U$3:$V$11,2,FALSE),"")</f>
        <v>Fuerte</v>
      </c>
      <c r="AK91" s="71">
        <f t="shared" si="148"/>
        <v>100</v>
      </c>
      <c r="AL91" s="564">
        <f t="shared" ref="AL91" si="161">AVERAGE(AK91:AK94)</f>
        <v>100</v>
      </c>
      <c r="AM91" s="564" t="str">
        <f t="shared" ref="AM91" si="162">IF(AL91&lt;=50,"Débil",IF(AL91&lt;=99,"Moderado",IF(AL91=100,"fuerte","")))</f>
        <v>fuerte</v>
      </c>
      <c r="AN91" s="564">
        <f t="shared" ref="AN91" si="163">+IF(AND(Q91="Preventivo",AM91="Fuerte"),2,IF(AND(Q91="Preventivo",AM91="Moderado"),1,0))</f>
        <v>2</v>
      </c>
      <c r="AO91" s="564">
        <f t="shared" ref="AO91" si="164">+IF(AND(Q91="Detectivo",$AM91="Fuerte"),2,IF(AND(Q91="Detectivo",$AM91="Moderado"),1,IF(AND(Q91="Preventivo",$AM91="Fuerte"),1,0)))</f>
        <v>1</v>
      </c>
      <c r="AP91" s="567">
        <f t="shared" ref="AP91" si="165">+K91-AN91</f>
        <v>0</v>
      </c>
      <c r="AQ91" s="567">
        <f t="shared" ref="AQ91" si="166">+M91-AO91</f>
        <v>1</v>
      </c>
      <c r="AR91" s="557" t="str">
        <f>+VLOOKUP(MIN(AP91),Listados!$J$18:$K$24,2,TRUE)</f>
        <v>Rara Vez</v>
      </c>
      <c r="AS91" s="557" t="str">
        <f>+VLOOKUP(MIN(AQ91),Listados!$J$26:$K$32,2,TRUE)</f>
        <v>Insignificante</v>
      </c>
      <c r="AT91" s="557" t="str">
        <f>IF(AND(AR91&lt;&gt;"",AS91&lt;&gt;""),VLOOKUP(AR91&amp;AS91,Listados!$M$3:$N$27,2,FALSE),"")</f>
        <v>Bajo</v>
      </c>
      <c r="AU91" s="557" t="str">
        <f>+VLOOKUP(AT91,Listados!$P$3:$Q$6,2,FALSE)</f>
        <v>Asumir el riesgo</v>
      </c>
      <c r="AV91" s="137" t="s">
        <v>430</v>
      </c>
      <c r="AW91" s="76" t="s">
        <v>415</v>
      </c>
      <c r="AX91" s="77" t="s">
        <v>431</v>
      </c>
      <c r="AY91" s="78"/>
      <c r="AZ91" s="76" t="s">
        <v>432</v>
      </c>
      <c r="BA91" s="137" t="s">
        <v>433</v>
      </c>
      <c r="BB91" s="787" t="s">
        <v>434</v>
      </c>
      <c r="BC91" s="787" t="s">
        <v>420</v>
      </c>
      <c r="BD91" s="790"/>
      <c r="BE91" s="766" t="s">
        <v>435</v>
      </c>
      <c r="BF91" s="770" t="s">
        <v>1618</v>
      </c>
      <c r="BG91" s="779"/>
    </row>
    <row r="92" spans="1:59" ht="57.75" customHeight="1">
      <c r="A92" s="693"/>
      <c r="B92" s="639"/>
      <c r="C92" s="661"/>
      <c r="D92" s="572"/>
      <c r="E92" s="572"/>
      <c r="F92" s="572"/>
      <c r="G92" s="329" t="s">
        <v>436</v>
      </c>
      <c r="H92" s="329" t="s">
        <v>67</v>
      </c>
      <c r="I92" s="329" t="s">
        <v>437</v>
      </c>
      <c r="J92" s="572"/>
      <c r="K92" s="565"/>
      <c r="L92" s="573"/>
      <c r="M92" s="565"/>
      <c r="N92" s="565"/>
      <c r="O92" s="354"/>
      <c r="P92" s="73" t="s">
        <v>436</v>
      </c>
      <c r="Q92" s="350"/>
      <c r="R92" s="332"/>
      <c r="S92" s="333" t="str">
        <f t="shared" si="138"/>
        <v>0</v>
      </c>
      <c r="T92" s="332"/>
      <c r="U92" s="333" t="str">
        <f t="shared" si="139"/>
        <v>0</v>
      </c>
      <c r="V92" s="332"/>
      <c r="W92" s="333" t="str">
        <f t="shared" si="140"/>
        <v>0</v>
      </c>
      <c r="X92" s="332"/>
      <c r="Y92" s="333" t="str">
        <f t="shared" si="141"/>
        <v>0</v>
      </c>
      <c r="Z92" s="332"/>
      <c r="AA92" s="333" t="str">
        <f t="shared" si="142"/>
        <v>0</v>
      </c>
      <c r="AB92" s="332"/>
      <c r="AC92" s="333" t="str">
        <f t="shared" si="143"/>
        <v>0</v>
      </c>
      <c r="AD92" s="332"/>
      <c r="AE92" s="333" t="str">
        <f t="shared" si="144"/>
        <v>0</v>
      </c>
      <c r="AF92" s="334" t="str">
        <f t="shared" si="145"/>
        <v/>
      </c>
      <c r="AG92" s="334" t="str">
        <f t="shared" si="146"/>
        <v/>
      </c>
      <c r="AH92" s="335"/>
      <c r="AI92" s="334" t="str">
        <f t="shared" si="147"/>
        <v/>
      </c>
      <c r="AJ92" s="334" t="str">
        <f>IFERROR(VLOOKUP((CONCATENATE(AG92,AI92)),Listados!$U$3:$V$11,2,FALSE),"")</f>
        <v/>
      </c>
      <c r="AK92" s="334" t="str">
        <f t="shared" si="148"/>
        <v/>
      </c>
      <c r="AL92" s="558"/>
      <c r="AM92" s="558"/>
      <c r="AN92" s="558"/>
      <c r="AO92" s="558"/>
      <c r="AP92" s="567"/>
      <c r="AQ92" s="567"/>
      <c r="AR92" s="565"/>
      <c r="AS92" s="565"/>
      <c r="AT92" s="565"/>
      <c r="AU92" s="565"/>
      <c r="AV92" s="336"/>
      <c r="AW92" s="336"/>
      <c r="AX92" s="336"/>
      <c r="AY92" s="336"/>
      <c r="AZ92" s="336"/>
      <c r="BA92" s="336"/>
      <c r="BB92" s="787"/>
      <c r="BC92" s="787"/>
      <c r="BD92" s="790"/>
      <c r="BE92" s="645"/>
      <c r="BF92" s="648"/>
      <c r="BG92" s="779"/>
    </row>
    <row r="93" spans="1:59">
      <c r="A93" s="693"/>
      <c r="B93" s="639"/>
      <c r="C93" s="661"/>
      <c r="D93" s="572"/>
      <c r="E93" s="572"/>
      <c r="F93" s="572"/>
      <c r="G93" s="329"/>
      <c r="H93" s="337"/>
      <c r="I93" s="337"/>
      <c r="J93" s="572"/>
      <c r="K93" s="565"/>
      <c r="L93" s="573"/>
      <c r="M93" s="565"/>
      <c r="N93" s="565"/>
      <c r="O93" s="347"/>
      <c r="P93" s="73"/>
      <c r="Q93" s="348"/>
      <c r="R93" s="332"/>
      <c r="S93" s="333" t="str">
        <f t="shared" si="138"/>
        <v>0</v>
      </c>
      <c r="T93" s="332"/>
      <c r="U93" s="333" t="str">
        <f t="shared" si="139"/>
        <v>0</v>
      </c>
      <c r="V93" s="332"/>
      <c r="W93" s="333" t="str">
        <f t="shared" si="140"/>
        <v>0</v>
      </c>
      <c r="X93" s="332"/>
      <c r="Y93" s="333" t="str">
        <f t="shared" si="141"/>
        <v>0</v>
      </c>
      <c r="Z93" s="332"/>
      <c r="AA93" s="333" t="str">
        <f t="shared" si="142"/>
        <v>0</v>
      </c>
      <c r="AB93" s="332"/>
      <c r="AC93" s="333" t="str">
        <f t="shared" si="143"/>
        <v>0</v>
      </c>
      <c r="AD93" s="332"/>
      <c r="AE93" s="333" t="str">
        <f t="shared" si="144"/>
        <v>0</v>
      </c>
      <c r="AF93" s="334" t="str">
        <f t="shared" si="145"/>
        <v/>
      </c>
      <c r="AG93" s="334" t="str">
        <f t="shared" si="146"/>
        <v/>
      </c>
      <c r="AH93" s="335"/>
      <c r="AI93" s="334" t="str">
        <f t="shared" si="147"/>
        <v/>
      </c>
      <c r="AJ93" s="334" t="str">
        <f>IFERROR(VLOOKUP((CONCATENATE(AG93,AI93)),Listados!$U$3:$V$11,2,FALSE),"")</f>
        <v/>
      </c>
      <c r="AK93" s="334" t="str">
        <f t="shared" si="148"/>
        <v/>
      </c>
      <c r="AL93" s="558"/>
      <c r="AM93" s="558"/>
      <c r="AN93" s="558"/>
      <c r="AO93" s="558"/>
      <c r="AP93" s="567"/>
      <c r="AQ93" s="567"/>
      <c r="AR93" s="565"/>
      <c r="AS93" s="565"/>
      <c r="AT93" s="565"/>
      <c r="AU93" s="565"/>
      <c r="AV93" s="336"/>
      <c r="AW93" s="336"/>
      <c r="AX93" s="339"/>
      <c r="AY93" s="339"/>
      <c r="AZ93" s="336"/>
      <c r="BA93" s="336"/>
      <c r="BB93" s="787"/>
      <c r="BC93" s="787"/>
      <c r="BD93" s="790"/>
      <c r="BE93" s="645"/>
      <c r="BF93" s="648"/>
      <c r="BG93" s="779"/>
    </row>
    <row r="94" spans="1:59">
      <c r="A94" s="693"/>
      <c r="B94" s="639"/>
      <c r="C94" s="661"/>
      <c r="D94" s="572"/>
      <c r="E94" s="572"/>
      <c r="F94" s="572"/>
      <c r="G94" s="329"/>
      <c r="H94" s="337"/>
      <c r="I94" s="337"/>
      <c r="J94" s="572"/>
      <c r="K94" s="565"/>
      <c r="L94" s="573"/>
      <c r="M94" s="565"/>
      <c r="N94" s="565"/>
      <c r="O94" s="347"/>
      <c r="P94" s="73"/>
      <c r="Q94" s="348"/>
      <c r="R94" s="332"/>
      <c r="S94" s="333" t="str">
        <f t="shared" si="138"/>
        <v>0</v>
      </c>
      <c r="T94" s="332"/>
      <c r="U94" s="333" t="str">
        <f t="shared" si="139"/>
        <v>0</v>
      </c>
      <c r="V94" s="332"/>
      <c r="W94" s="333" t="str">
        <f t="shared" si="140"/>
        <v>0</v>
      </c>
      <c r="X94" s="332"/>
      <c r="Y94" s="333" t="str">
        <f t="shared" si="141"/>
        <v>0</v>
      </c>
      <c r="Z94" s="332"/>
      <c r="AA94" s="333" t="str">
        <f t="shared" si="142"/>
        <v>0</v>
      </c>
      <c r="AB94" s="332"/>
      <c r="AC94" s="333" t="str">
        <f t="shared" si="143"/>
        <v>0</v>
      </c>
      <c r="AD94" s="332"/>
      <c r="AE94" s="333" t="str">
        <f t="shared" si="144"/>
        <v>0</v>
      </c>
      <c r="AF94" s="334" t="str">
        <f t="shared" si="145"/>
        <v/>
      </c>
      <c r="AG94" s="334" t="str">
        <f t="shared" si="146"/>
        <v/>
      </c>
      <c r="AH94" s="335"/>
      <c r="AI94" s="334" t="str">
        <f t="shared" si="147"/>
        <v/>
      </c>
      <c r="AJ94" s="334" t="str">
        <f>IFERROR(VLOOKUP((CONCATENATE(AG94,AI94)),Listados!$U$3:$V$11,2,FALSE),"")</f>
        <v/>
      </c>
      <c r="AK94" s="334" t="str">
        <f t="shared" si="148"/>
        <v/>
      </c>
      <c r="AL94" s="558"/>
      <c r="AM94" s="558"/>
      <c r="AN94" s="558"/>
      <c r="AO94" s="558"/>
      <c r="AP94" s="564"/>
      <c r="AQ94" s="564"/>
      <c r="AR94" s="565"/>
      <c r="AS94" s="565"/>
      <c r="AT94" s="565"/>
      <c r="AU94" s="565"/>
      <c r="AV94" s="336"/>
      <c r="AW94" s="336"/>
      <c r="AX94" s="339"/>
      <c r="AY94" s="339"/>
      <c r="AZ94" s="336"/>
      <c r="BA94" s="336"/>
      <c r="BB94" s="824"/>
      <c r="BC94" s="824"/>
      <c r="BD94" s="825"/>
      <c r="BE94" s="777"/>
      <c r="BF94" s="778"/>
      <c r="BG94" s="780"/>
    </row>
    <row r="95" spans="1:59" ht="114">
      <c r="A95" s="693">
        <v>22</v>
      </c>
      <c r="B95" s="639" t="s">
        <v>275</v>
      </c>
      <c r="C95" s="661" t="s">
        <v>407</v>
      </c>
      <c r="D95" s="572" t="s">
        <v>438</v>
      </c>
      <c r="E95" s="574" t="s">
        <v>278</v>
      </c>
      <c r="F95" s="574" t="s">
        <v>409</v>
      </c>
      <c r="G95" s="329" t="s">
        <v>439</v>
      </c>
      <c r="H95" s="337" t="s">
        <v>67</v>
      </c>
      <c r="I95" s="337" t="s">
        <v>244</v>
      </c>
      <c r="J95" s="572" t="s">
        <v>180</v>
      </c>
      <c r="K95" s="565">
        <f>+VLOOKUP(J95,Listados!$K$8:$L$12,2,0)</f>
        <v>2</v>
      </c>
      <c r="L95" s="573" t="s">
        <v>70</v>
      </c>
      <c r="M95" s="565">
        <f>+VLOOKUP(L95,Listados!$K$13:$L$17,2,0)</f>
        <v>2</v>
      </c>
      <c r="N95" s="565" t="str">
        <f>IF(AND(J95&lt;&gt;"",L95&lt;&gt;""),VLOOKUP(J95&amp;L95,Listados!$M$3:$N$27,2,FALSE),"")</f>
        <v>Bajo</v>
      </c>
      <c r="O95" s="360" t="s">
        <v>440</v>
      </c>
      <c r="P95" s="330" t="s">
        <v>439</v>
      </c>
      <c r="Q95" s="350" t="s">
        <v>72</v>
      </c>
      <c r="R95" s="332" t="s">
        <v>73</v>
      </c>
      <c r="S95" s="333">
        <f t="shared" si="138"/>
        <v>15</v>
      </c>
      <c r="T95" s="332" t="s">
        <v>73</v>
      </c>
      <c r="U95" s="333">
        <f t="shared" si="139"/>
        <v>15</v>
      </c>
      <c r="V95" s="332" t="s">
        <v>73</v>
      </c>
      <c r="W95" s="333">
        <f t="shared" si="140"/>
        <v>15</v>
      </c>
      <c r="X95" s="332" t="s">
        <v>72</v>
      </c>
      <c r="Y95" s="333">
        <f t="shared" si="141"/>
        <v>15</v>
      </c>
      <c r="Z95" s="332" t="s">
        <v>73</v>
      </c>
      <c r="AA95" s="333">
        <f t="shared" si="142"/>
        <v>15</v>
      </c>
      <c r="AB95" s="332" t="s">
        <v>73</v>
      </c>
      <c r="AC95" s="333">
        <f t="shared" si="143"/>
        <v>15</v>
      </c>
      <c r="AD95" s="332" t="s">
        <v>74</v>
      </c>
      <c r="AE95" s="333">
        <f t="shared" si="144"/>
        <v>10</v>
      </c>
      <c r="AF95" s="334">
        <f t="shared" si="145"/>
        <v>100</v>
      </c>
      <c r="AG95" s="334" t="str">
        <f t="shared" si="146"/>
        <v>Fuerte</v>
      </c>
      <c r="AH95" s="335" t="s">
        <v>75</v>
      </c>
      <c r="AI95" s="334" t="str">
        <f t="shared" si="147"/>
        <v>Fuerte</v>
      </c>
      <c r="AJ95" s="334" t="str">
        <f>IFERROR(VLOOKUP((CONCATENATE(AG95,AI95)),Listados!$U$3:$V$11,2,FALSE),"")</f>
        <v>Fuerte</v>
      </c>
      <c r="AK95" s="334">
        <f t="shared" si="148"/>
        <v>100</v>
      </c>
      <c r="AL95" s="558">
        <f t="shared" ref="AL95" si="167">AVERAGE(AK95:AK98)</f>
        <v>100</v>
      </c>
      <c r="AM95" s="558" t="str">
        <f t="shared" ref="AM95" si="168">IF(AL95&lt;=50,"Débil",IF(AL95&lt;=99,"Moderado",IF(AL95=100,"fuerte","")))</f>
        <v>fuerte</v>
      </c>
      <c r="AN95" s="558">
        <f t="shared" ref="AN95" si="169">+IF(AND(Q95="Preventivo",AM95="Fuerte"),2,IF(AND(Q95="Preventivo",AM95="Moderado"),1,0))</f>
        <v>2</v>
      </c>
      <c r="AO95" s="558">
        <f t="shared" ref="AO95" si="170">+IF(AND(Q95="Detectivo",$AM95="Fuerte"),2,IF(AND(Q95="Detectivo",$AM95="Moderado"),1,IF(AND(Q95="Preventivo",$AM95="Fuerte"),1,0)))</f>
        <v>1</v>
      </c>
      <c r="AP95" s="566">
        <f t="shared" ref="AP95" si="171">+K95-AN95</f>
        <v>0</v>
      </c>
      <c r="AQ95" s="566">
        <f t="shared" ref="AQ95" si="172">+M95-AO95</f>
        <v>1</v>
      </c>
      <c r="AR95" s="565" t="str">
        <f>+VLOOKUP(MIN(AP95),Listados!$J$18:$K$24,2,TRUE)</f>
        <v>Rara Vez</v>
      </c>
      <c r="AS95" s="565" t="str">
        <f>+VLOOKUP(MIN(AQ95),Listados!$J$26:$K$32,2,TRUE)</f>
        <v>Insignificante</v>
      </c>
      <c r="AT95" s="565" t="str">
        <f>IF(AND(AR95&lt;&gt;"",AS95&lt;&gt;""),VLOOKUP(AR95&amp;AS95,Listados!$M$3:$N$27,2,FALSE),"")</f>
        <v>Bajo</v>
      </c>
      <c r="AU95" s="565" t="str">
        <f>+VLOOKUP(AT95,Listados!$P$3:$Q$6,2,FALSE)</f>
        <v>Asumir el riesgo</v>
      </c>
      <c r="AV95" s="343" t="s">
        <v>441</v>
      </c>
      <c r="AW95" s="336" t="s">
        <v>415</v>
      </c>
      <c r="AX95" s="339">
        <v>45658</v>
      </c>
      <c r="AY95" s="361">
        <v>46022</v>
      </c>
      <c r="AZ95" s="336" t="s">
        <v>442</v>
      </c>
      <c r="BA95" s="336" t="s">
        <v>443</v>
      </c>
      <c r="BB95" s="787" t="s">
        <v>444</v>
      </c>
      <c r="BC95" s="787" t="s">
        <v>445</v>
      </c>
      <c r="BD95" s="790"/>
      <c r="BE95" s="766" t="s">
        <v>446</v>
      </c>
      <c r="BF95" s="770" t="s">
        <v>1618</v>
      </c>
      <c r="BG95" s="779"/>
    </row>
    <row r="96" spans="1:59" ht="134.25" customHeight="1">
      <c r="A96" s="693"/>
      <c r="B96" s="639"/>
      <c r="C96" s="661"/>
      <c r="D96" s="572"/>
      <c r="E96" s="572"/>
      <c r="F96" s="572"/>
      <c r="G96" s="359" t="s">
        <v>447</v>
      </c>
      <c r="H96" s="337" t="s">
        <v>67</v>
      </c>
      <c r="I96" s="337" t="s">
        <v>448</v>
      </c>
      <c r="J96" s="572"/>
      <c r="K96" s="565"/>
      <c r="L96" s="573"/>
      <c r="M96" s="565"/>
      <c r="N96" s="565"/>
      <c r="O96" s="360" t="s">
        <v>449</v>
      </c>
      <c r="P96" s="330" t="s">
        <v>450</v>
      </c>
      <c r="Q96" s="350" t="s">
        <v>72</v>
      </c>
      <c r="R96" s="332" t="s">
        <v>73</v>
      </c>
      <c r="S96" s="333">
        <f t="shared" si="138"/>
        <v>15</v>
      </c>
      <c r="T96" s="332" t="s">
        <v>73</v>
      </c>
      <c r="U96" s="333">
        <f t="shared" si="139"/>
        <v>15</v>
      </c>
      <c r="V96" s="332" t="s">
        <v>73</v>
      </c>
      <c r="W96" s="333">
        <f t="shared" si="140"/>
        <v>15</v>
      </c>
      <c r="X96" s="332" t="s">
        <v>72</v>
      </c>
      <c r="Y96" s="333">
        <f t="shared" si="141"/>
        <v>15</v>
      </c>
      <c r="Z96" s="332" t="s">
        <v>73</v>
      </c>
      <c r="AA96" s="333">
        <f t="shared" si="142"/>
        <v>15</v>
      </c>
      <c r="AB96" s="332" t="s">
        <v>73</v>
      </c>
      <c r="AC96" s="333">
        <f t="shared" si="143"/>
        <v>15</v>
      </c>
      <c r="AD96" s="332" t="s">
        <v>74</v>
      </c>
      <c r="AE96" s="333">
        <f t="shared" si="144"/>
        <v>10</v>
      </c>
      <c r="AF96" s="334">
        <f t="shared" si="145"/>
        <v>100</v>
      </c>
      <c r="AG96" s="334" t="str">
        <f t="shared" si="146"/>
        <v>Fuerte</v>
      </c>
      <c r="AH96" s="335" t="s">
        <v>75</v>
      </c>
      <c r="AI96" s="334" t="str">
        <f t="shared" si="147"/>
        <v>Fuerte</v>
      </c>
      <c r="AJ96" s="334" t="str">
        <f>IFERROR(VLOOKUP((CONCATENATE(AG96,AI96)),Listados!$U$3:$V$11,2,FALSE),"")</f>
        <v>Fuerte</v>
      </c>
      <c r="AK96" s="334">
        <f t="shared" si="148"/>
        <v>100</v>
      </c>
      <c r="AL96" s="558"/>
      <c r="AM96" s="558"/>
      <c r="AN96" s="558"/>
      <c r="AO96" s="558"/>
      <c r="AP96" s="567"/>
      <c r="AQ96" s="567"/>
      <c r="AR96" s="565"/>
      <c r="AS96" s="565"/>
      <c r="AT96" s="565"/>
      <c r="AU96" s="565"/>
      <c r="AV96" s="336"/>
      <c r="AW96" s="336"/>
      <c r="AX96" s="336"/>
      <c r="AY96" s="336"/>
      <c r="AZ96" s="336"/>
      <c r="BA96" s="336"/>
      <c r="BB96" s="787"/>
      <c r="BC96" s="787"/>
      <c r="BD96" s="790"/>
      <c r="BE96" s="645"/>
      <c r="BF96" s="648"/>
      <c r="BG96" s="779"/>
    </row>
    <row r="97" spans="1:59" ht="57">
      <c r="A97" s="693"/>
      <c r="B97" s="639"/>
      <c r="C97" s="661"/>
      <c r="D97" s="572"/>
      <c r="E97" s="572"/>
      <c r="F97" s="572"/>
      <c r="G97" s="359" t="s">
        <v>451</v>
      </c>
      <c r="H97" s="337" t="s">
        <v>67</v>
      </c>
      <c r="I97" s="337"/>
      <c r="J97" s="572"/>
      <c r="K97" s="565"/>
      <c r="L97" s="573"/>
      <c r="M97" s="565"/>
      <c r="N97" s="565"/>
      <c r="O97" s="347"/>
      <c r="P97" s="330"/>
      <c r="Q97" s="348"/>
      <c r="R97" s="332"/>
      <c r="S97" s="333" t="str">
        <f t="shared" si="138"/>
        <v>0</v>
      </c>
      <c r="T97" s="332"/>
      <c r="U97" s="333" t="str">
        <f t="shared" si="139"/>
        <v>0</v>
      </c>
      <c r="V97" s="332"/>
      <c r="W97" s="333" t="str">
        <f t="shared" si="140"/>
        <v>0</v>
      </c>
      <c r="X97" s="332"/>
      <c r="Y97" s="333" t="str">
        <f t="shared" si="141"/>
        <v>0</v>
      </c>
      <c r="Z97" s="332"/>
      <c r="AA97" s="333" t="str">
        <f t="shared" si="142"/>
        <v>0</v>
      </c>
      <c r="AB97" s="332"/>
      <c r="AC97" s="333" t="str">
        <f t="shared" si="143"/>
        <v>0</v>
      </c>
      <c r="AD97" s="332"/>
      <c r="AE97" s="333" t="str">
        <f t="shared" si="144"/>
        <v>0</v>
      </c>
      <c r="AF97" s="334" t="str">
        <f t="shared" si="145"/>
        <v/>
      </c>
      <c r="AG97" s="334" t="str">
        <f t="shared" si="146"/>
        <v/>
      </c>
      <c r="AH97" s="335"/>
      <c r="AI97" s="334" t="str">
        <f t="shared" si="147"/>
        <v/>
      </c>
      <c r="AJ97" s="334" t="str">
        <f>IFERROR(VLOOKUP((CONCATENATE(AG97,AI97)),Listados!$U$3:$V$11,2,FALSE),"")</f>
        <v/>
      </c>
      <c r="AK97" s="334" t="str">
        <f t="shared" si="148"/>
        <v/>
      </c>
      <c r="AL97" s="558"/>
      <c r="AM97" s="558"/>
      <c r="AN97" s="558"/>
      <c r="AO97" s="558"/>
      <c r="AP97" s="567"/>
      <c r="AQ97" s="567"/>
      <c r="AR97" s="565"/>
      <c r="AS97" s="565"/>
      <c r="AT97" s="565"/>
      <c r="AU97" s="565"/>
      <c r="AV97" s="336"/>
      <c r="AW97" s="336"/>
      <c r="AX97" s="339"/>
      <c r="AY97" s="339"/>
      <c r="AZ97" s="336"/>
      <c r="BA97" s="336"/>
      <c r="BB97" s="787"/>
      <c r="BC97" s="787"/>
      <c r="BD97" s="790"/>
      <c r="BE97" s="645"/>
      <c r="BF97" s="648"/>
      <c r="BG97" s="779"/>
    </row>
    <row r="98" spans="1:59" ht="42.75">
      <c r="A98" s="694"/>
      <c r="B98" s="695"/>
      <c r="C98" s="696"/>
      <c r="D98" s="548"/>
      <c r="E98" s="548"/>
      <c r="F98" s="548"/>
      <c r="G98" s="227" t="s">
        <v>450</v>
      </c>
      <c r="H98" s="228" t="s">
        <v>155</v>
      </c>
      <c r="I98" s="228"/>
      <c r="J98" s="548"/>
      <c r="K98" s="556"/>
      <c r="L98" s="554"/>
      <c r="M98" s="556"/>
      <c r="N98" s="556"/>
      <c r="O98" s="229"/>
      <c r="P98" s="330"/>
      <c r="Q98" s="230"/>
      <c r="R98" s="223"/>
      <c r="S98" s="224" t="str">
        <f t="shared" si="138"/>
        <v>0</v>
      </c>
      <c r="T98" s="223"/>
      <c r="U98" s="224" t="str">
        <f t="shared" si="139"/>
        <v>0</v>
      </c>
      <c r="V98" s="223"/>
      <c r="W98" s="224" t="str">
        <f t="shared" si="140"/>
        <v>0</v>
      </c>
      <c r="X98" s="223"/>
      <c r="Y98" s="224" t="str">
        <f t="shared" si="141"/>
        <v>0</v>
      </c>
      <c r="Z98" s="223"/>
      <c r="AA98" s="224" t="str">
        <f t="shared" si="142"/>
        <v>0</v>
      </c>
      <c r="AB98" s="223"/>
      <c r="AC98" s="224" t="str">
        <f t="shared" si="143"/>
        <v>0</v>
      </c>
      <c r="AD98" s="223"/>
      <c r="AE98" s="224" t="str">
        <f t="shared" si="144"/>
        <v>0</v>
      </c>
      <c r="AF98" s="225" t="str">
        <f t="shared" si="145"/>
        <v/>
      </c>
      <c r="AG98" s="225" t="str">
        <f t="shared" si="146"/>
        <v/>
      </c>
      <c r="AH98" s="226"/>
      <c r="AI98" s="225" t="str">
        <f t="shared" si="147"/>
        <v/>
      </c>
      <c r="AJ98" s="225" t="str">
        <f>IFERROR(VLOOKUP((CONCATENATE(AG98,AI98)),Listados!$U$3:$V$11,2,FALSE),"")</f>
        <v/>
      </c>
      <c r="AK98" s="225" t="str">
        <f t="shared" si="148"/>
        <v/>
      </c>
      <c r="AL98" s="563"/>
      <c r="AM98" s="563"/>
      <c r="AN98" s="563"/>
      <c r="AO98" s="563"/>
      <c r="AP98" s="567"/>
      <c r="AQ98" s="567"/>
      <c r="AR98" s="556"/>
      <c r="AS98" s="556"/>
      <c r="AT98" s="556"/>
      <c r="AU98" s="556"/>
      <c r="AV98" s="231"/>
      <c r="AW98" s="231"/>
      <c r="AX98" s="232"/>
      <c r="AY98" s="232"/>
      <c r="AZ98" s="231"/>
      <c r="BA98" s="231"/>
      <c r="BB98" s="787"/>
      <c r="BC98" s="787"/>
      <c r="BD98" s="790"/>
      <c r="BE98" s="645"/>
      <c r="BF98" s="648"/>
      <c r="BG98" s="779"/>
    </row>
    <row r="99" spans="1:59" ht="210">
      <c r="A99" s="635">
        <v>23</v>
      </c>
      <c r="B99" s="638" t="s">
        <v>452</v>
      </c>
      <c r="C99" s="691" t="s">
        <v>453</v>
      </c>
      <c r="D99" s="584" t="s">
        <v>454</v>
      </c>
      <c r="E99" s="584" t="s">
        <v>278</v>
      </c>
      <c r="F99" s="584" t="s">
        <v>307</v>
      </c>
      <c r="G99" s="92" t="s">
        <v>455</v>
      </c>
      <c r="H99" s="128" t="s">
        <v>67</v>
      </c>
      <c r="I99" s="92" t="s">
        <v>456</v>
      </c>
      <c r="J99" s="584" t="s">
        <v>88</v>
      </c>
      <c r="K99" s="569">
        <f>+VLOOKUP(J99,Listados!$K$8:$L$12,2,0)</f>
        <v>3</v>
      </c>
      <c r="L99" s="585" t="s">
        <v>326</v>
      </c>
      <c r="M99" s="569">
        <f>+VLOOKUP(L99,Listados!$K$13:$L$17,2,0)</f>
        <v>4</v>
      </c>
      <c r="N99" s="569" t="str">
        <f>IF(AND(J99&lt;&gt;"",L99&lt;&gt;""),VLOOKUP(J99&amp;L99,Listados!$M$3:$N$27,2,FALSE),"")</f>
        <v>Extremo</v>
      </c>
      <c r="O99" s="342" t="s">
        <v>457</v>
      </c>
      <c r="P99" s="330" t="s">
        <v>455</v>
      </c>
      <c r="Q99" s="130" t="s">
        <v>72</v>
      </c>
      <c r="R99" s="94" t="s">
        <v>73</v>
      </c>
      <c r="S99" s="93">
        <f t="shared" si="138"/>
        <v>15</v>
      </c>
      <c r="T99" s="94" t="s">
        <v>73</v>
      </c>
      <c r="U99" s="93">
        <f t="shared" si="139"/>
        <v>15</v>
      </c>
      <c r="V99" s="94" t="s">
        <v>73</v>
      </c>
      <c r="W99" s="93">
        <f t="shared" si="140"/>
        <v>15</v>
      </c>
      <c r="X99" s="94" t="s">
        <v>72</v>
      </c>
      <c r="Y99" s="93">
        <f t="shared" si="141"/>
        <v>15</v>
      </c>
      <c r="Z99" s="94" t="s">
        <v>73</v>
      </c>
      <c r="AA99" s="93">
        <f t="shared" si="142"/>
        <v>15</v>
      </c>
      <c r="AB99" s="94" t="s">
        <v>73</v>
      </c>
      <c r="AC99" s="93">
        <f t="shared" si="143"/>
        <v>15</v>
      </c>
      <c r="AD99" s="94" t="s">
        <v>74</v>
      </c>
      <c r="AE99" s="93">
        <f t="shared" si="144"/>
        <v>10</v>
      </c>
      <c r="AF99" s="96">
        <f t="shared" si="145"/>
        <v>100</v>
      </c>
      <c r="AG99" s="96" t="str">
        <f t="shared" si="146"/>
        <v>Fuerte</v>
      </c>
      <c r="AH99" s="107" t="s">
        <v>75</v>
      </c>
      <c r="AI99" s="96" t="str">
        <f t="shared" si="147"/>
        <v>Fuerte</v>
      </c>
      <c r="AJ99" s="96" t="str">
        <f>IFERROR(VLOOKUP((CONCATENATE(AG99,AI99)),Listados!$U$3:$V$11,2,FALSE),"")</f>
        <v>Fuerte</v>
      </c>
      <c r="AK99" s="96">
        <f t="shared" si="148"/>
        <v>100</v>
      </c>
      <c r="AL99" s="559">
        <f t="shared" ref="AL99" si="173">AVERAGE(AK99:AK102)</f>
        <v>100</v>
      </c>
      <c r="AM99" s="559" t="str">
        <f t="shared" ref="AM99" si="174">IF(AL99&lt;=50,"Débil",IF(AL99&lt;=99,"Moderado",IF(AL99=100,"fuerte","")))</f>
        <v>fuerte</v>
      </c>
      <c r="AN99" s="559">
        <f t="shared" ref="AN99" si="175">+IF(AND(Q99="Preventivo",AM99="Fuerte"),2,IF(AND(Q99="Preventivo",AM99="Moderado"),1,0))</f>
        <v>2</v>
      </c>
      <c r="AO99" s="559">
        <f t="shared" ref="AO99" si="176">+IF(AND(Q99="Detectivo",$AM99="Fuerte"),2,IF(AND(Q99="Detectivo",$AM99="Moderado"),1,IF(AND(Q99="Preventivo",$AM99="Fuerte"),1,0)))</f>
        <v>1</v>
      </c>
      <c r="AP99" s="566">
        <f t="shared" ref="AP99" si="177">+K99-AN99</f>
        <v>1</v>
      </c>
      <c r="AQ99" s="566">
        <f t="shared" ref="AQ99" si="178">+M99-AO99</f>
        <v>3</v>
      </c>
      <c r="AR99" s="569" t="str">
        <f>+VLOOKUP(MIN(AP99),Listados!$J$18:$K$24,2,TRUE)</f>
        <v>Rara Vez</v>
      </c>
      <c r="AS99" s="569" t="str">
        <f>+VLOOKUP(MIN(AQ99),Listados!$J$26:$K$32,2,TRUE)</f>
        <v>Moderado</v>
      </c>
      <c r="AT99" s="569" t="str">
        <f>IF(AND(AR99&lt;&gt;"",AS99&lt;&gt;""),VLOOKUP(AR99&amp;AS99,Listados!$M$3:$N$27,2,FALSE),"")</f>
        <v>Moderado</v>
      </c>
      <c r="AU99" s="569" t="str">
        <f>+VLOOKUP(AT99,Listados!$P$3:$Q$6,2,FALSE)</f>
        <v>Asumir el riesgo</v>
      </c>
      <c r="AV99" s="336" t="s">
        <v>458</v>
      </c>
      <c r="AW99" s="97"/>
      <c r="AX99" s="98"/>
      <c r="AY99" s="99"/>
      <c r="AZ99" s="97"/>
      <c r="BA99" s="97"/>
      <c r="BB99" s="355" t="s">
        <v>459</v>
      </c>
      <c r="BC99" s="811" t="s">
        <v>460</v>
      </c>
      <c r="BD99" s="789"/>
      <c r="BE99" s="644" t="s">
        <v>461</v>
      </c>
      <c r="BF99" s="647" t="s">
        <v>1619</v>
      </c>
      <c r="BG99" s="650"/>
    </row>
    <row r="100" spans="1:59" ht="164.25" customHeight="1">
      <c r="A100" s="636"/>
      <c r="B100" s="639"/>
      <c r="C100" s="661"/>
      <c r="D100" s="572"/>
      <c r="E100" s="572"/>
      <c r="F100" s="572"/>
      <c r="G100" s="329" t="s">
        <v>462</v>
      </c>
      <c r="H100" s="337" t="s">
        <v>67</v>
      </c>
      <c r="I100" s="329" t="s">
        <v>463</v>
      </c>
      <c r="J100" s="572"/>
      <c r="K100" s="565"/>
      <c r="L100" s="573"/>
      <c r="M100" s="565"/>
      <c r="N100" s="565"/>
      <c r="O100" s="337" t="s">
        <v>464</v>
      </c>
      <c r="P100" s="330" t="s">
        <v>462</v>
      </c>
      <c r="Q100" s="350" t="s">
        <v>72</v>
      </c>
      <c r="R100" s="332" t="s">
        <v>73</v>
      </c>
      <c r="S100" s="333">
        <f t="shared" si="138"/>
        <v>15</v>
      </c>
      <c r="T100" s="332" t="s">
        <v>73</v>
      </c>
      <c r="U100" s="333">
        <f t="shared" si="139"/>
        <v>15</v>
      </c>
      <c r="V100" s="332" t="s">
        <v>73</v>
      </c>
      <c r="W100" s="333">
        <f t="shared" si="140"/>
        <v>15</v>
      </c>
      <c r="X100" s="332" t="s">
        <v>72</v>
      </c>
      <c r="Y100" s="333">
        <f t="shared" si="141"/>
        <v>15</v>
      </c>
      <c r="Z100" s="332" t="s">
        <v>73</v>
      </c>
      <c r="AA100" s="333">
        <f t="shared" si="142"/>
        <v>15</v>
      </c>
      <c r="AB100" s="332" t="s">
        <v>73</v>
      </c>
      <c r="AC100" s="333">
        <f t="shared" si="143"/>
        <v>15</v>
      </c>
      <c r="AD100" s="332" t="s">
        <v>74</v>
      </c>
      <c r="AE100" s="333">
        <f t="shared" si="144"/>
        <v>10</v>
      </c>
      <c r="AF100" s="334">
        <f t="shared" si="145"/>
        <v>100</v>
      </c>
      <c r="AG100" s="334" t="str">
        <f t="shared" si="146"/>
        <v>Fuerte</v>
      </c>
      <c r="AH100" s="335" t="s">
        <v>75</v>
      </c>
      <c r="AI100" s="334" t="str">
        <f t="shared" si="147"/>
        <v>Fuerte</v>
      </c>
      <c r="AJ100" s="334" t="str">
        <f>IFERROR(VLOOKUP((CONCATENATE(AG100,AI100)),Listados!$U$3:$V$11,2,FALSE),"")</f>
        <v>Fuerte</v>
      </c>
      <c r="AK100" s="334">
        <f t="shared" si="148"/>
        <v>100</v>
      </c>
      <c r="AL100" s="558"/>
      <c r="AM100" s="558"/>
      <c r="AN100" s="558"/>
      <c r="AO100" s="558"/>
      <c r="AP100" s="567"/>
      <c r="AQ100" s="567"/>
      <c r="AR100" s="565"/>
      <c r="AS100" s="565"/>
      <c r="AT100" s="565"/>
      <c r="AU100" s="565"/>
      <c r="AV100" s="336" t="s">
        <v>283</v>
      </c>
      <c r="AW100" s="336"/>
      <c r="AX100" s="336"/>
      <c r="AY100" s="336"/>
      <c r="AZ100" s="336"/>
      <c r="BA100" s="336"/>
      <c r="BB100" s="355" t="s">
        <v>465</v>
      </c>
      <c r="BC100" s="812"/>
      <c r="BD100" s="790"/>
      <c r="BE100" s="645"/>
      <c r="BF100" s="648"/>
      <c r="BG100" s="651"/>
    </row>
    <row r="101" spans="1:59">
      <c r="A101" s="636"/>
      <c r="B101" s="639"/>
      <c r="C101" s="661"/>
      <c r="D101" s="572"/>
      <c r="E101" s="572"/>
      <c r="F101" s="572"/>
      <c r="G101" s="329"/>
      <c r="H101" s="337"/>
      <c r="I101" s="329"/>
      <c r="J101" s="572"/>
      <c r="K101" s="565"/>
      <c r="L101" s="573"/>
      <c r="M101" s="565"/>
      <c r="N101" s="565"/>
      <c r="O101" s="347"/>
      <c r="P101" s="330"/>
      <c r="Q101" s="348"/>
      <c r="R101" s="332"/>
      <c r="S101" s="333" t="str">
        <f t="shared" si="138"/>
        <v>0</v>
      </c>
      <c r="T101" s="332"/>
      <c r="U101" s="333" t="str">
        <f t="shared" si="139"/>
        <v>0</v>
      </c>
      <c r="V101" s="332"/>
      <c r="W101" s="333" t="str">
        <f t="shared" si="140"/>
        <v>0</v>
      </c>
      <c r="X101" s="332"/>
      <c r="Y101" s="333" t="str">
        <f t="shared" si="141"/>
        <v>0</v>
      </c>
      <c r="Z101" s="332"/>
      <c r="AA101" s="333" t="str">
        <f t="shared" si="142"/>
        <v>0</v>
      </c>
      <c r="AB101" s="332"/>
      <c r="AC101" s="333" t="str">
        <f t="shared" si="143"/>
        <v>0</v>
      </c>
      <c r="AD101" s="332"/>
      <c r="AE101" s="333" t="str">
        <f t="shared" si="144"/>
        <v>0</v>
      </c>
      <c r="AF101" s="334" t="str">
        <f t="shared" si="145"/>
        <v/>
      </c>
      <c r="AG101" s="334" t="str">
        <f t="shared" si="146"/>
        <v/>
      </c>
      <c r="AH101" s="335"/>
      <c r="AI101" s="334" t="str">
        <f t="shared" si="147"/>
        <v/>
      </c>
      <c r="AJ101" s="334" t="str">
        <f>IFERROR(VLOOKUP((CONCATENATE(AG101,AI101)),Listados!$U$3:$V$11,2,FALSE),"")</f>
        <v/>
      </c>
      <c r="AK101" s="334" t="str">
        <f t="shared" si="148"/>
        <v/>
      </c>
      <c r="AL101" s="558"/>
      <c r="AM101" s="558"/>
      <c r="AN101" s="558"/>
      <c r="AO101" s="558"/>
      <c r="AP101" s="567"/>
      <c r="AQ101" s="567"/>
      <c r="AR101" s="565"/>
      <c r="AS101" s="565"/>
      <c r="AT101" s="565"/>
      <c r="AU101" s="565"/>
      <c r="AV101" s="336"/>
      <c r="AW101" s="336"/>
      <c r="AX101" s="339"/>
      <c r="AY101" s="339"/>
      <c r="AZ101" s="336"/>
      <c r="BA101" s="336"/>
      <c r="BB101" s="336"/>
      <c r="BC101" s="812"/>
      <c r="BD101" s="790"/>
      <c r="BE101" s="645"/>
      <c r="BF101" s="648"/>
      <c r="BG101" s="651"/>
    </row>
    <row r="102" spans="1:59">
      <c r="A102" s="637"/>
      <c r="B102" s="640"/>
      <c r="C102" s="662"/>
      <c r="D102" s="586"/>
      <c r="E102" s="586"/>
      <c r="F102" s="586"/>
      <c r="G102" s="256"/>
      <c r="H102" s="257"/>
      <c r="I102" s="256"/>
      <c r="J102" s="586"/>
      <c r="K102" s="570"/>
      <c r="L102" s="587"/>
      <c r="M102" s="570"/>
      <c r="N102" s="570"/>
      <c r="O102" s="347"/>
      <c r="P102" s="330"/>
      <c r="Q102" s="269"/>
      <c r="R102" s="260"/>
      <c r="S102" s="261" t="str">
        <f t="shared" si="138"/>
        <v>0</v>
      </c>
      <c r="T102" s="260"/>
      <c r="U102" s="261" t="str">
        <f t="shared" si="139"/>
        <v>0</v>
      </c>
      <c r="V102" s="260"/>
      <c r="W102" s="261" t="str">
        <f t="shared" si="140"/>
        <v>0</v>
      </c>
      <c r="X102" s="260"/>
      <c r="Y102" s="261" t="str">
        <f t="shared" si="141"/>
        <v>0</v>
      </c>
      <c r="Z102" s="260"/>
      <c r="AA102" s="261" t="str">
        <f t="shared" si="142"/>
        <v>0</v>
      </c>
      <c r="AB102" s="260"/>
      <c r="AC102" s="261" t="str">
        <f t="shared" si="143"/>
        <v>0</v>
      </c>
      <c r="AD102" s="260"/>
      <c r="AE102" s="261" t="str">
        <f t="shared" si="144"/>
        <v>0</v>
      </c>
      <c r="AF102" s="262" t="str">
        <f t="shared" si="145"/>
        <v/>
      </c>
      <c r="AG102" s="262" t="str">
        <f t="shared" si="146"/>
        <v/>
      </c>
      <c r="AH102" s="263"/>
      <c r="AI102" s="262" t="str">
        <f t="shared" si="147"/>
        <v/>
      </c>
      <c r="AJ102" s="262" t="str">
        <f>IFERROR(VLOOKUP((CONCATENATE(AG102,AI102)),Listados!$U$3:$V$11,2,FALSE),"")</f>
        <v/>
      </c>
      <c r="AK102" s="262" t="str">
        <f t="shared" si="148"/>
        <v/>
      </c>
      <c r="AL102" s="560"/>
      <c r="AM102" s="560"/>
      <c r="AN102" s="560"/>
      <c r="AO102" s="560"/>
      <c r="AP102" s="568"/>
      <c r="AQ102" s="568"/>
      <c r="AR102" s="570"/>
      <c r="AS102" s="570"/>
      <c r="AT102" s="570"/>
      <c r="AU102" s="570"/>
      <c r="AV102" s="249"/>
      <c r="AW102" s="249"/>
      <c r="AX102" s="250"/>
      <c r="AY102" s="250"/>
      <c r="AZ102" s="249"/>
      <c r="BA102" s="249"/>
      <c r="BB102" s="169"/>
      <c r="BC102" s="813"/>
      <c r="BD102" s="791"/>
      <c r="BE102" s="646"/>
      <c r="BF102" s="649"/>
      <c r="BG102" s="652"/>
    </row>
    <row r="103" spans="1:59" ht="151.5" customHeight="1">
      <c r="A103" s="635">
        <v>24</v>
      </c>
      <c r="B103" s="638" t="s">
        <v>452</v>
      </c>
      <c r="C103" s="691" t="s">
        <v>453</v>
      </c>
      <c r="D103" s="624" t="s">
        <v>466</v>
      </c>
      <c r="E103" s="584" t="s">
        <v>278</v>
      </c>
      <c r="F103" s="584" t="s">
        <v>307</v>
      </c>
      <c r="G103" s="92" t="s">
        <v>467</v>
      </c>
      <c r="H103" s="128" t="s">
        <v>67</v>
      </c>
      <c r="I103" s="92" t="s">
        <v>468</v>
      </c>
      <c r="J103" s="584" t="s">
        <v>106</v>
      </c>
      <c r="K103" s="569">
        <f>+VLOOKUP(J103,Listados!$K$8:$L$12,2,0)</f>
        <v>4</v>
      </c>
      <c r="L103" s="585" t="s">
        <v>326</v>
      </c>
      <c r="M103" s="569">
        <f>+VLOOKUP(L103,Listados!$K$13:$L$17,2,0)</f>
        <v>4</v>
      </c>
      <c r="N103" s="569" t="str">
        <f>IF(AND(J103&lt;&gt;"",L103&lt;&gt;""),VLOOKUP(J103&amp;L103,Listados!$M$3:$N$27,2,FALSE),"")</f>
        <v>Extremo</v>
      </c>
      <c r="O103" s="144" t="s">
        <v>469</v>
      </c>
      <c r="P103" s="73" t="s">
        <v>467</v>
      </c>
      <c r="Q103" s="130" t="s">
        <v>72</v>
      </c>
      <c r="R103" s="94" t="s">
        <v>73</v>
      </c>
      <c r="S103" s="93">
        <f t="shared" si="138"/>
        <v>15</v>
      </c>
      <c r="T103" s="94" t="s">
        <v>73</v>
      </c>
      <c r="U103" s="93">
        <f t="shared" si="139"/>
        <v>15</v>
      </c>
      <c r="V103" s="94" t="s">
        <v>73</v>
      </c>
      <c r="W103" s="93">
        <f t="shared" si="140"/>
        <v>15</v>
      </c>
      <c r="X103" s="94" t="s">
        <v>72</v>
      </c>
      <c r="Y103" s="93">
        <f t="shared" si="141"/>
        <v>15</v>
      </c>
      <c r="Z103" s="94" t="s">
        <v>73</v>
      </c>
      <c r="AA103" s="93">
        <f t="shared" si="142"/>
        <v>15</v>
      </c>
      <c r="AB103" s="94" t="s">
        <v>73</v>
      </c>
      <c r="AC103" s="93">
        <f t="shared" si="143"/>
        <v>15</v>
      </c>
      <c r="AD103" s="94" t="s">
        <v>74</v>
      </c>
      <c r="AE103" s="93">
        <f t="shared" si="144"/>
        <v>10</v>
      </c>
      <c r="AF103" s="96">
        <f t="shared" si="145"/>
        <v>100</v>
      </c>
      <c r="AG103" s="96" t="str">
        <f t="shared" si="146"/>
        <v>Fuerte</v>
      </c>
      <c r="AH103" s="107" t="s">
        <v>75</v>
      </c>
      <c r="AI103" s="96" t="str">
        <f t="shared" si="147"/>
        <v>Fuerte</v>
      </c>
      <c r="AJ103" s="96" t="str">
        <f>IFERROR(VLOOKUP((CONCATENATE(AG103,AI103)),Listados!$U$3:$V$11,2,FALSE),"")</f>
        <v>Fuerte</v>
      </c>
      <c r="AK103" s="96">
        <f t="shared" si="148"/>
        <v>100</v>
      </c>
      <c r="AL103" s="559">
        <f t="shared" ref="AL103" si="179">AVERAGE(AK103:AK106)</f>
        <v>100</v>
      </c>
      <c r="AM103" s="559" t="str">
        <f t="shared" ref="AM103" si="180">IF(AL103&lt;=50,"Débil",IF(AL103&lt;=99,"Moderado",IF(AL103=100,"fuerte","")))</f>
        <v>fuerte</v>
      </c>
      <c r="AN103" s="559">
        <f t="shared" ref="AN103" si="181">+IF(AND(Q103="Preventivo",AM103="Fuerte"),2,IF(AND(Q103="Preventivo",AM103="Moderado"),1,0))</f>
        <v>2</v>
      </c>
      <c r="AO103" s="559">
        <f t="shared" ref="AO103" si="182">+IF(AND(Q103="Detectivo",$AM103="Fuerte"),2,IF(AND(Q103="Detectivo",$AM103="Moderado"),1,IF(AND(Q103="Preventivo",$AM103="Fuerte"),1,0)))</f>
        <v>1</v>
      </c>
      <c r="AP103" s="566">
        <f t="shared" ref="AP103" si="183">+K103-AN103</f>
        <v>2</v>
      </c>
      <c r="AQ103" s="566">
        <f t="shared" ref="AQ103" si="184">+M103-AO103</f>
        <v>3</v>
      </c>
      <c r="AR103" s="569" t="str">
        <f>+VLOOKUP(MIN(AP103),Listados!$J$18:$K$24,2,TRUE)</f>
        <v>Improbable</v>
      </c>
      <c r="AS103" s="569" t="str">
        <f>+VLOOKUP(MIN(AQ103),Listados!$J$26:$K$32,2,TRUE)</f>
        <v>Moderado</v>
      </c>
      <c r="AT103" s="569" t="str">
        <f>IF(AND(AR103&lt;&gt;"",AS103&lt;&gt;""),VLOOKUP(AR103&amp;AS103,Listados!$M$3:$N$27,2,FALSE),"")</f>
        <v>Moderado</v>
      </c>
      <c r="AU103" s="569" t="str">
        <f>+VLOOKUP(AT103,Listados!$P$3:$Q$6,2,FALSE)</f>
        <v>Asumir el riesgo</v>
      </c>
      <c r="AV103" s="336" t="s">
        <v>368</v>
      </c>
      <c r="AW103" s="97"/>
      <c r="AX103" s="98"/>
      <c r="AY103" s="99"/>
      <c r="AZ103" s="97"/>
      <c r="BA103" s="97"/>
      <c r="BB103" s="355" t="s">
        <v>470</v>
      </c>
      <c r="BC103" s="814" t="s">
        <v>471</v>
      </c>
      <c r="BD103" s="789"/>
      <c r="BE103" s="644" t="s">
        <v>472</v>
      </c>
      <c r="BF103" s="647" t="s">
        <v>1620</v>
      </c>
      <c r="BG103" s="650"/>
    </row>
    <row r="104" spans="1:59" ht="143.25">
      <c r="A104" s="636"/>
      <c r="B104" s="639"/>
      <c r="C104" s="661"/>
      <c r="D104" s="579"/>
      <c r="E104" s="572"/>
      <c r="F104" s="572"/>
      <c r="G104" s="329" t="s">
        <v>473</v>
      </c>
      <c r="H104" s="337" t="s">
        <v>67</v>
      </c>
      <c r="I104" s="329" t="s">
        <v>474</v>
      </c>
      <c r="J104" s="572"/>
      <c r="K104" s="565"/>
      <c r="L104" s="573"/>
      <c r="M104" s="565"/>
      <c r="N104" s="565"/>
      <c r="O104" s="362" t="s">
        <v>475</v>
      </c>
      <c r="P104" s="73" t="s">
        <v>473</v>
      </c>
      <c r="Q104" s="350" t="s">
        <v>72</v>
      </c>
      <c r="R104" s="332" t="s">
        <v>73</v>
      </c>
      <c r="S104" s="333">
        <f t="shared" si="138"/>
        <v>15</v>
      </c>
      <c r="T104" s="332" t="s">
        <v>73</v>
      </c>
      <c r="U104" s="333">
        <f t="shared" si="139"/>
        <v>15</v>
      </c>
      <c r="V104" s="332" t="s">
        <v>73</v>
      </c>
      <c r="W104" s="333">
        <f t="shared" si="140"/>
        <v>15</v>
      </c>
      <c r="X104" s="332" t="s">
        <v>72</v>
      </c>
      <c r="Y104" s="333">
        <f t="shared" si="141"/>
        <v>15</v>
      </c>
      <c r="Z104" s="332" t="s">
        <v>73</v>
      </c>
      <c r="AA104" s="333">
        <f t="shared" si="142"/>
        <v>15</v>
      </c>
      <c r="AB104" s="332" t="s">
        <v>73</v>
      </c>
      <c r="AC104" s="333">
        <f t="shared" si="143"/>
        <v>15</v>
      </c>
      <c r="AD104" s="332" t="s">
        <v>74</v>
      </c>
      <c r="AE104" s="333">
        <f t="shared" si="144"/>
        <v>10</v>
      </c>
      <c r="AF104" s="334">
        <f t="shared" si="145"/>
        <v>100</v>
      </c>
      <c r="AG104" s="334" t="str">
        <f t="shared" si="146"/>
        <v>Fuerte</v>
      </c>
      <c r="AH104" s="335" t="s">
        <v>75</v>
      </c>
      <c r="AI104" s="334" t="str">
        <f t="shared" si="147"/>
        <v>Fuerte</v>
      </c>
      <c r="AJ104" s="334" t="str">
        <f>IFERROR(VLOOKUP((CONCATENATE(AG104,AI104)),Listados!$U$3:$V$11,2,FALSE),"")</f>
        <v>Fuerte</v>
      </c>
      <c r="AK104" s="334">
        <f t="shared" si="148"/>
        <v>100</v>
      </c>
      <c r="AL104" s="558"/>
      <c r="AM104" s="558"/>
      <c r="AN104" s="558"/>
      <c r="AO104" s="558"/>
      <c r="AP104" s="567"/>
      <c r="AQ104" s="567"/>
      <c r="AR104" s="565"/>
      <c r="AS104" s="565"/>
      <c r="AT104" s="565"/>
      <c r="AU104" s="565"/>
      <c r="AV104" s="336" t="s">
        <v>283</v>
      </c>
      <c r="AW104" s="336"/>
      <c r="AX104" s="336"/>
      <c r="AY104" s="336"/>
      <c r="AZ104" s="336"/>
      <c r="BA104" s="336"/>
      <c r="BB104" s="355" t="s">
        <v>476</v>
      </c>
      <c r="BC104" s="812"/>
      <c r="BD104" s="790"/>
      <c r="BE104" s="645"/>
      <c r="BF104" s="648"/>
      <c r="BG104" s="651"/>
    </row>
    <row r="105" spans="1:59">
      <c r="A105" s="636"/>
      <c r="B105" s="639"/>
      <c r="C105" s="661"/>
      <c r="D105" s="579"/>
      <c r="E105" s="572"/>
      <c r="F105" s="572"/>
      <c r="G105" s="329"/>
      <c r="H105" s="337"/>
      <c r="I105" s="337"/>
      <c r="J105" s="572"/>
      <c r="K105" s="565"/>
      <c r="L105" s="573"/>
      <c r="M105" s="565"/>
      <c r="N105" s="565"/>
      <c r="O105" s="347"/>
      <c r="P105" s="73"/>
      <c r="Q105" s="348"/>
      <c r="R105" s="332"/>
      <c r="S105" s="333" t="str">
        <f t="shared" si="138"/>
        <v>0</v>
      </c>
      <c r="T105" s="332"/>
      <c r="U105" s="333" t="str">
        <f t="shared" si="139"/>
        <v>0</v>
      </c>
      <c r="V105" s="332"/>
      <c r="W105" s="333" t="str">
        <f t="shared" si="140"/>
        <v>0</v>
      </c>
      <c r="X105" s="332"/>
      <c r="Y105" s="333" t="str">
        <f t="shared" si="141"/>
        <v>0</v>
      </c>
      <c r="Z105" s="332"/>
      <c r="AA105" s="333" t="str">
        <f t="shared" si="142"/>
        <v>0</v>
      </c>
      <c r="AB105" s="332"/>
      <c r="AC105" s="333" t="str">
        <f t="shared" si="143"/>
        <v>0</v>
      </c>
      <c r="AD105" s="332"/>
      <c r="AE105" s="333" t="str">
        <f t="shared" si="144"/>
        <v>0</v>
      </c>
      <c r="AF105" s="334" t="str">
        <f t="shared" si="145"/>
        <v/>
      </c>
      <c r="AG105" s="334" t="str">
        <f t="shared" si="146"/>
        <v/>
      </c>
      <c r="AH105" s="335"/>
      <c r="AI105" s="334" t="str">
        <f t="shared" si="147"/>
        <v/>
      </c>
      <c r="AJ105" s="334" t="str">
        <f>IFERROR(VLOOKUP((CONCATENATE(AG105,AI105)),Listados!$U$3:$V$11,2,FALSE),"")</f>
        <v/>
      </c>
      <c r="AK105" s="334" t="str">
        <f t="shared" si="148"/>
        <v/>
      </c>
      <c r="AL105" s="558"/>
      <c r="AM105" s="558"/>
      <c r="AN105" s="558"/>
      <c r="AO105" s="558"/>
      <c r="AP105" s="567"/>
      <c r="AQ105" s="567"/>
      <c r="AR105" s="565"/>
      <c r="AS105" s="565"/>
      <c r="AT105" s="565"/>
      <c r="AU105" s="565"/>
      <c r="AV105" s="336"/>
      <c r="AW105" s="336"/>
      <c r="AX105" s="339"/>
      <c r="AY105" s="339"/>
      <c r="AZ105" s="336"/>
      <c r="BA105" s="336"/>
      <c r="BB105" s="336"/>
      <c r="BC105" s="812"/>
      <c r="BD105" s="790"/>
      <c r="BE105" s="645"/>
      <c r="BF105" s="648"/>
      <c r="BG105" s="651"/>
    </row>
    <row r="106" spans="1:59">
      <c r="A106" s="697"/>
      <c r="B106" s="695"/>
      <c r="C106" s="696"/>
      <c r="D106" s="579"/>
      <c r="E106" s="548"/>
      <c r="F106" s="548"/>
      <c r="G106" s="221"/>
      <c r="H106" s="228"/>
      <c r="I106" s="228"/>
      <c r="J106" s="548"/>
      <c r="K106" s="556"/>
      <c r="L106" s="554"/>
      <c r="M106" s="556"/>
      <c r="N106" s="556"/>
      <c r="O106" s="229"/>
      <c r="P106" s="233"/>
      <c r="Q106" s="230"/>
      <c r="R106" s="223"/>
      <c r="S106" s="224" t="str">
        <f t="shared" si="138"/>
        <v>0</v>
      </c>
      <c r="T106" s="223"/>
      <c r="U106" s="224" t="str">
        <f t="shared" si="139"/>
        <v>0</v>
      </c>
      <c r="V106" s="223"/>
      <c r="W106" s="224" t="str">
        <f t="shared" si="140"/>
        <v>0</v>
      </c>
      <c r="X106" s="223"/>
      <c r="Y106" s="224" t="str">
        <f t="shared" si="141"/>
        <v>0</v>
      </c>
      <c r="Z106" s="223"/>
      <c r="AA106" s="224" t="str">
        <f t="shared" si="142"/>
        <v>0</v>
      </c>
      <c r="AB106" s="223"/>
      <c r="AC106" s="224" t="str">
        <f t="shared" si="143"/>
        <v>0</v>
      </c>
      <c r="AD106" s="223"/>
      <c r="AE106" s="224" t="str">
        <f t="shared" si="144"/>
        <v>0</v>
      </c>
      <c r="AF106" s="225" t="str">
        <f t="shared" si="145"/>
        <v/>
      </c>
      <c r="AG106" s="225" t="str">
        <f t="shared" si="146"/>
        <v/>
      </c>
      <c r="AH106" s="226"/>
      <c r="AI106" s="225" t="str">
        <f t="shared" si="147"/>
        <v/>
      </c>
      <c r="AJ106" s="225" t="str">
        <f>IFERROR(VLOOKUP((CONCATENATE(AG106,AI106)),Listados!$U$3:$V$11,2,FALSE),"")</f>
        <v/>
      </c>
      <c r="AK106" s="225" t="str">
        <f t="shared" si="148"/>
        <v/>
      </c>
      <c r="AL106" s="563"/>
      <c r="AM106" s="563"/>
      <c r="AN106" s="563"/>
      <c r="AO106" s="563"/>
      <c r="AP106" s="567"/>
      <c r="AQ106" s="567"/>
      <c r="AR106" s="556"/>
      <c r="AS106" s="556"/>
      <c r="AT106" s="556"/>
      <c r="AU106" s="556"/>
      <c r="AV106" s="231"/>
      <c r="AW106" s="231"/>
      <c r="AX106" s="232"/>
      <c r="AY106" s="232"/>
      <c r="AZ106" s="231"/>
      <c r="BA106" s="231"/>
      <c r="BB106" s="168"/>
      <c r="BC106" s="813"/>
      <c r="BD106" s="790"/>
      <c r="BE106" s="645"/>
      <c r="BF106" s="648"/>
      <c r="BG106" s="651"/>
    </row>
    <row r="107" spans="1:59" ht="187.5" customHeight="1">
      <c r="A107" s="635">
        <v>25</v>
      </c>
      <c r="B107" s="638" t="s">
        <v>275</v>
      </c>
      <c r="C107" s="691" t="s">
        <v>477</v>
      </c>
      <c r="D107" s="624" t="s">
        <v>478</v>
      </c>
      <c r="E107" s="584" t="s">
        <v>153</v>
      </c>
      <c r="F107" s="584" t="s">
        <v>279</v>
      </c>
      <c r="G107" s="698" t="s">
        <v>479</v>
      </c>
      <c r="H107" s="128" t="s">
        <v>67</v>
      </c>
      <c r="I107" s="128" t="s">
        <v>480</v>
      </c>
      <c r="J107" s="584" t="s">
        <v>69</v>
      </c>
      <c r="K107" s="569">
        <f>+VLOOKUP(J107,Listados!$K$8:$L$12,2,0)</f>
        <v>5</v>
      </c>
      <c r="L107" s="585" t="s">
        <v>326</v>
      </c>
      <c r="M107" s="569">
        <f>+VLOOKUP(L107,Listados!$K$13:$L$17,2,0)</f>
        <v>4</v>
      </c>
      <c r="N107" s="569" t="str">
        <f>IF(AND(J107&lt;&gt;"",L107&lt;&gt;""),VLOOKUP(J107&amp;L107,Listados!$M$3:$N$27,2,FALSE),"")</f>
        <v>Extremo</v>
      </c>
      <c r="O107" s="701" t="s">
        <v>481</v>
      </c>
      <c r="P107" s="704" t="s">
        <v>479</v>
      </c>
      <c r="Q107" s="707" t="s">
        <v>72</v>
      </c>
      <c r="R107" s="710" t="s">
        <v>73</v>
      </c>
      <c r="S107" s="93">
        <f t="shared" si="138"/>
        <v>15</v>
      </c>
      <c r="T107" s="94" t="s">
        <v>73</v>
      </c>
      <c r="U107" s="93">
        <f t="shared" si="139"/>
        <v>15</v>
      </c>
      <c r="V107" s="94" t="s">
        <v>73</v>
      </c>
      <c r="W107" s="93">
        <f t="shared" si="140"/>
        <v>15</v>
      </c>
      <c r="X107" s="94" t="s">
        <v>72</v>
      </c>
      <c r="Y107" s="93">
        <f t="shared" si="141"/>
        <v>15</v>
      </c>
      <c r="Z107" s="94" t="s">
        <v>73</v>
      </c>
      <c r="AA107" s="93">
        <f t="shared" si="142"/>
        <v>15</v>
      </c>
      <c r="AB107" s="94" t="s">
        <v>73</v>
      </c>
      <c r="AC107" s="93">
        <f t="shared" si="143"/>
        <v>15</v>
      </c>
      <c r="AD107" s="94" t="s">
        <v>74</v>
      </c>
      <c r="AE107" s="93">
        <f t="shared" si="144"/>
        <v>10</v>
      </c>
      <c r="AF107" s="96">
        <f t="shared" si="145"/>
        <v>100</v>
      </c>
      <c r="AG107" s="96" t="str">
        <f t="shared" si="146"/>
        <v>Fuerte</v>
      </c>
      <c r="AH107" s="107" t="s">
        <v>75</v>
      </c>
      <c r="AI107" s="96" t="str">
        <f t="shared" si="147"/>
        <v>Fuerte</v>
      </c>
      <c r="AJ107" s="96" t="str">
        <f>IFERROR(VLOOKUP((CONCATENATE(AG107,AI107)),Listados!$U$3:$V$11,2,FALSE),"")</f>
        <v>Fuerte</v>
      </c>
      <c r="AK107" s="96">
        <f t="shared" si="148"/>
        <v>100</v>
      </c>
      <c r="AL107" s="559">
        <f t="shared" ref="AL107" si="185">AVERAGE(AK107:AK110)</f>
        <v>100</v>
      </c>
      <c r="AM107" s="559" t="str">
        <f t="shared" ref="AM107" si="186">IF(AL107&lt;=50,"Débil",IF(AL107&lt;=99,"Moderado",IF(AL107=100,"fuerte","")))</f>
        <v>fuerte</v>
      </c>
      <c r="AN107" s="559">
        <f t="shared" ref="AN107" si="187">+IF(AND(Q107="Preventivo",AM107="Fuerte"),2,IF(AND(Q107="Preventivo",AM107="Moderado"),1,0))</f>
        <v>2</v>
      </c>
      <c r="AO107" s="559">
        <f t="shared" ref="AO107" si="188">+IF(AND(Q107="Detectivo",$AM107="Fuerte"),2,IF(AND(Q107="Detectivo",$AM107="Moderado"),1,IF(AND(Q107="Preventivo",$AM107="Fuerte"),1,0)))</f>
        <v>1</v>
      </c>
      <c r="AP107" s="566">
        <f t="shared" ref="AP107" si="189">+K107-AN107</f>
        <v>3</v>
      </c>
      <c r="AQ107" s="566">
        <f t="shared" ref="AQ107" si="190">+M107-AO107</f>
        <v>3</v>
      </c>
      <c r="AR107" s="569" t="str">
        <f>+VLOOKUP(MIN(AP107),Listados!$J$18:$K$24,2,TRUE)</f>
        <v>Posible</v>
      </c>
      <c r="AS107" s="569" t="str">
        <f>+VLOOKUP(MIN(AQ107),Listados!$J$26:$K$32,2,TRUE)</f>
        <v>Moderado</v>
      </c>
      <c r="AT107" s="569" t="str">
        <f>IF(AND(AR107&lt;&gt;"",AS107&lt;&gt;""),VLOOKUP(AR107&amp;AS107,Listados!$M$3:$N$27,2,FALSE),"")</f>
        <v>Alto</v>
      </c>
      <c r="AU107" s="569" t="str">
        <f>+VLOOKUP(AT107,Listados!$P$3:$Q$6,2,FALSE)</f>
        <v>Reducir el riesgo</v>
      </c>
      <c r="AV107" s="120" t="s">
        <v>482</v>
      </c>
      <c r="AW107" s="97" t="s">
        <v>415</v>
      </c>
      <c r="AX107" s="185">
        <v>45658</v>
      </c>
      <c r="AY107" s="185">
        <v>46022</v>
      </c>
      <c r="AZ107" s="97" t="s">
        <v>483</v>
      </c>
      <c r="BA107" s="97" t="s">
        <v>484</v>
      </c>
      <c r="BB107" s="786" t="s">
        <v>485</v>
      </c>
      <c r="BC107" s="786" t="s">
        <v>486</v>
      </c>
      <c r="BD107" s="789"/>
      <c r="BE107" s="644" t="s">
        <v>487</v>
      </c>
      <c r="BF107" s="647" t="s">
        <v>1621</v>
      </c>
      <c r="BG107" s="650"/>
    </row>
    <row r="108" spans="1:59" ht="29.25" customHeight="1">
      <c r="A108" s="636"/>
      <c r="B108" s="639"/>
      <c r="C108" s="661"/>
      <c r="D108" s="579"/>
      <c r="E108" s="572"/>
      <c r="F108" s="572"/>
      <c r="G108" s="699"/>
      <c r="H108" s="337"/>
      <c r="I108" s="337"/>
      <c r="J108" s="572"/>
      <c r="K108" s="565"/>
      <c r="L108" s="573"/>
      <c r="M108" s="565"/>
      <c r="N108" s="565"/>
      <c r="O108" s="702"/>
      <c r="P108" s="705"/>
      <c r="Q108" s="708"/>
      <c r="R108" s="711"/>
      <c r="S108" s="333" t="str">
        <f t="shared" si="138"/>
        <v>0</v>
      </c>
      <c r="T108" s="332"/>
      <c r="U108" s="333" t="str">
        <f t="shared" si="139"/>
        <v>0</v>
      </c>
      <c r="V108" s="332"/>
      <c r="W108" s="333" t="str">
        <f t="shared" si="140"/>
        <v>0</v>
      </c>
      <c r="X108" s="332"/>
      <c r="Y108" s="333" t="str">
        <f t="shared" si="141"/>
        <v>0</v>
      </c>
      <c r="Z108" s="332"/>
      <c r="AA108" s="333" t="str">
        <f t="shared" si="142"/>
        <v>0</v>
      </c>
      <c r="AB108" s="332"/>
      <c r="AC108" s="333" t="str">
        <f t="shared" si="143"/>
        <v>0</v>
      </c>
      <c r="AD108" s="332"/>
      <c r="AE108" s="333" t="str">
        <f t="shared" si="144"/>
        <v>0</v>
      </c>
      <c r="AF108" s="334" t="str">
        <f t="shared" si="145"/>
        <v/>
      </c>
      <c r="AG108" s="334" t="str">
        <f t="shared" si="146"/>
        <v/>
      </c>
      <c r="AH108" s="335"/>
      <c r="AI108" s="334" t="str">
        <f t="shared" si="147"/>
        <v/>
      </c>
      <c r="AJ108" s="334" t="str">
        <f>IFERROR(VLOOKUP((CONCATENATE(AG108,AI108)),Listados!$U$3:$V$11,2,FALSE),"")</f>
        <v/>
      </c>
      <c r="AK108" s="334" t="str">
        <f t="shared" si="148"/>
        <v/>
      </c>
      <c r="AL108" s="558"/>
      <c r="AM108" s="558"/>
      <c r="AN108" s="558"/>
      <c r="AO108" s="558"/>
      <c r="AP108" s="567"/>
      <c r="AQ108" s="567"/>
      <c r="AR108" s="565"/>
      <c r="AS108" s="565"/>
      <c r="AT108" s="565"/>
      <c r="AU108" s="565"/>
      <c r="AV108" s="336"/>
      <c r="AW108" s="336"/>
      <c r="AX108" s="336"/>
      <c r="AY108" s="336"/>
      <c r="AZ108" s="336"/>
      <c r="BA108" s="336"/>
      <c r="BB108" s="787"/>
      <c r="BC108" s="787"/>
      <c r="BD108" s="790"/>
      <c r="BE108" s="645"/>
      <c r="BF108" s="648"/>
      <c r="BG108" s="651"/>
    </row>
    <row r="109" spans="1:59" ht="18.75" customHeight="1">
      <c r="A109" s="636"/>
      <c r="B109" s="639"/>
      <c r="C109" s="661"/>
      <c r="D109" s="579"/>
      <c r="E109" s="572"/>
      <c r="F109" s="572"/>
      <c r="G109" s="699"/>
      <c r="H109" s="337"/>
      <c r="I109" s="337"/>
      <c r="J109" s="572"/>
      <c r="K109" s="565"/>
      <c r="L109" s="573"/>
      <c r="M109" s="565"/>
      <c r="N109" s="565"/>
      <c r="O109" s="702"/>
      <c r="P109" s="705"/>
      <c r="Q109" s="708"/>
      <c r="R109" s="711"/>
      <c r="S109" s="333" t="str">
        <f t="shared" si="138"/>
        <v>0</v>
      </c>
      <c r="T109" s="332"/>
      <c r="U109" s="333" t="str">
        <f t="shared" si="139"/>
        <v>0</v>
      </c>
      <c r="V109" s="332"/>
      <c r="W109" s="333" t="str">
        <f t="shared" si="140"/>
        <v>0</v>
      </c>
      <c r="X109" s="332"/>
      <c r="Y109" s="333" t="str">
        <f t="shared" si="141"/>
        <v>0</v>
      </c>
      <c r="Z109" s="332"/>
      <c r="AA109" s="333" t="str">
        <f t="shared" si="142"/>
        <v>0</v>
      </c>
      <c r="AB109" s="332"/>
      <c r="AC109" s="333" t="str">
        <f t="shared" si="143"/>
        <v>0</v>
      </c>
      <c r="AD109" s="332"/>
      <c r="AE109" s="333" t="str">
        <f t="shared" si="144"/>
        <v>0</v>
      </c>
      <c r="AF109" s="334" t="str">
        <f t="shared" si="145"/>
        <v/>
      </c>
      <c r="AG109" s="334" t="str">
        <f t="shared" si="146"/>
        <v/>
      </c>
      <c r="AH109" s="335"/>
      <c r="AI109" s="334" t="str">
        <f t="shared" si="147"/>
        <v/>
      </c>
      <c r="AJ109" s="334" t="str">
        <f>IFERROR(VLOOKUP((CONCATENATE(AG109,AI109)),Listados!$U$3:$V$11,2,FALSE),"")</f>
        <v/>
      </c>
      <c r="AK109" s="334" t="str">
        <f t="shared" si="148"/>
        <v/>
      </c>
      <c r="AL109" s="558"/>
      <c r="AM109" s="558"/>
      <c r="AN109" s="558"/>
      <c r="AO109" s="558"/>
      <c r="AP109" s="567"/>
      <c r="AQ109" s="567"/>
      <c r="AR109" s="565"/>
      <c r="AS109" s="565"/>
      <c r="AT109" s="565"/>
      <c r="AU109" s="565"/>
      <c r="AV109" s="336"/>
      <c r="AW109" s="336"/>
      <c r="AX109" s="339"/>
      <c r="AY109" s="339"/>
      <c r="AZ109" s="336"/>
      <c r="BA109" s="336"/>
      <c r="BB109" s="787"/>
      <c r="BC109" s="787"/>
      <c r="BD109" s="790"/>
      <c r="BE109" s="645"/>
      <c r="BF109" s="648"/>
      <c r="BG109" s="651"/>
    </row>
    <row r="110" spans="1:59">
      <c r="A110" s="637"/>
      <c r="B110" s="640"/>
      <c r="C110" s="662"/>
      <c r="D110" s="549"/>
      <c r="E110" s="586"/>
      <c r="F110" s="586"/>
      <c r="G110" s="700"/>
      <c r="H110" s="257"/>
      <c r="I110" s="257"/>
      <c r="J110" s="586"/>
      <c r="K110" s="570"/>
      <c r="L110" s="587"/>
      <c r="M110" s="570"/>
      <c r="N110" s="570"/>
      <c r="O110" s="703"/>
      <c r="P110" s="706"/>
      <c r="Q110" s="709"/>
      <c r="R110" s="712"/>
      <c r="S110" s="261" t="str">
        <f t="shared" si="138"/>
        <v>0</v>
      </c>
      <c r="T110" s="260"/>
      <c r="U110" s="261" t="str">
        <f t="shared" si="139"/>
        <v>0</v>
      </c>
      <c r="V110" s="260"/>
      <c r="W110" s="261" t="str">
        <f t="shared" si="140"/>
        <v>0</v>
      </c>
      <c r="X110" s="260"/>
      <c r="Y110" s="261" t="str">
        <f t="shared" si="141"/>
        <v>0</v>
      </c>
      <c r="Z110" s="260"/>
      <c r="AA110" s="261" t="str">
        <f t="shared" si="142"/>
        <v>0</v>
      </c>
      <c r="AB110" s="260"/>
      <c r="AC110" s="261" t="str">
        <f t="shared" si="143"/>
        <v>0</v>
      </c>
      <c r="AD110" s="260"/>
      <c r="AE110" s="261" t="str">
        <f t="shared" si="144"/>
        <v>0</v>
      </c>
      <c r="AF110" s="262" t="str">
        <f t="shared" si="145"/>
        <v/>
      </c>
      <c r="AG110" s="262" t="str">
        <f t="shared" si="146"/>
        <v/>
      </c>
      <c r="AH110" s="263"/>
      <c r="AI110" s="262" t="str">
        <f t="shared" si="147"/>
        <v/>
      </c>
      <c r="AJ110" s="262" t="str">
        <f>IFERROR(VLOOKUP((CONCATENATE(AG110,AI110)),Listados!$U$3:$V$11,2,FALSE),"")</f>
        <v/>
      </c>
      <c r="AK110" s="262" t="str">
        <f t="shared" si="148"/>
        <v/>
      </c>
      <c r="AL110" s="560"/>
      <c r="AM110" s="560"/>
      <c r="AN110" s="560"/>
      <c r="AO110" s="560"/>
      <c r="AP110" s="568"/>
      <c r="AQ110" s="568"/>
      <c r="AR110" s="570"/>
      <c r="AS110" s="570"/>
      <c r="AT110" s="570"/>
      <c r="AU110" s="570"/>
      <c r="AV110" s="249"/>
      <c r="AW110" s="249"/>
      <c r="AX110" s="250"/>
      <c r="AY110" s="250"/>
      <c r="AZ110" s="249"/>
      <c r="BA110" s="249"/>
      <c r="BB110" s="788"/>
      <c r="BC110" s="788"/>
      <c r="BD110" s="791"/>
      <c r="BE110" s="646"/>
      <c r="BF110" s="649"/>
      <c r="BG110" s="652"/>
    </row>
    <row r="111" spans="1:59" ht="99" customHeight="1">
      <c r="A111" s="635">
        <v>26</v>
      </c>
      <c r="B111" s="638" t="s">
        <v>275</v>
      </c>
      <c r="C111" s="691" t="s">
        <v>477</v>
      </c>
      <c r="D111" s="624" t="s">
        <v>488</v>
      </c>
      <c r="E111" s="584" t="s">
        <v>64</v>
      </c>
      <c r="F111" s="584" t="s">
        <v>279</v>
      </c>
      <c r="G111" s="92" t="s">
        <v>489</v>
      </c>
      <c r="H111" s="128" t="s">
        <v>67</v>
      </c>
      <c r="I111" s="92" t="s">
        <v>490</v>
      </c>
      <c r="J111" s="584" t="s">
        <v>88</v>
      </c>
      <c r="K111" s="569">
        <f>+VLOOKUP(J111,Listados!$K$8:$L$12,2,0)</f>
        <v>3</v>
      </c>
      <c r="L111" s="585" t="s">
        <v>326</v>
      </c>
      <c r="M111" s="569">
        <f>+VLOOKUP(L111,Listados!$K$13:$L$17,2,0)</f>
        <v>4</v>
      </c>
      <c r="N111" s="569" t="str">
        <f>IF(AND(J111&lt;&gt;"",L111&lt;&gt;""),VLOOKUP(J111&amp;L111,Listados!$M$3:$N$27,2,FALSE),"")</f>
        <v>Extremo</v>
      </c>
      <c r="O111" s="128" t="s">
        <v>491</v>
      </c>
      <c r="P111" s="105" t="s">
        <v>489</v>
      </c>
      <c r="Q111" s="130" t="s">
        <v>72</v>
      </c>
      <c r="R111" s="94" t="s">
        <v>73</v>
      </c>
      <c r="S111" s="93">
        <f t="shared" si="138"/>
        <v>15</v>
      </c>
      <c r="T111" s="94" t="s">
        <v>73</v>
      </c>
      <c r="U111" s="93">
        <f t="shared" si="139"/>
        <v>15</v>
      </c>
      <c r="V111" s="94" t="s">
        <v>73</v>
      </c>
      <c r="W111" s="93">
        <f t="shared" si="140"/>
        <v>15</v>
      </c>
      <c r="X111" s="94" t="s">
        <v>72</v>
      </c>
      <c r="Y111" s="93">
        <f t="shared" si="141"/>
        <v>15</v>
      </c>
      <c r="Z111" s="94" t="s">
        <v>73</v>
      </c>
      <c r="AA111" s="93">
        <f t="shared" si="142"/>
        <v>15</v>
      </c>
      <c r="AB111" s="94" t="s">
        <v>73</v>
      </c>
      <c r="AC111" s="93">
        <f t="shared" si="143"/>
        <v>15</v>
      </c>
      <c r="AD111" s="94" t="s">
        <v>74</v>
      </c>
      <c r="AE111" s="93">
        <f t="shared" si="144"/>
        <v>10</v>
      </c>
      <c r="AF111" s="96">
        <f t="shared" si="145"/>
        <v>100</v>
      </c>
      <c r="AG111" s="96" t="str">
        <f t="shared" si="146"/>
        <v>Fuerte</v>
      </c>
      <c r="AH111" s="107" t="s">
        <v>75</v>
      </c>
      <c r="AI111" s="96" t="str">
        <f t="shared" si="147"/>
        <v>Fuerte</v>
      </c>
      <c r="AJ111" s="96" t="str">
        <f>IFERROR(VLOOKUP((CONCATENATE(AG111,AI111)),Listados!$U$3:$V$11,2,FALSE),"")</f>
        <v>Fuerte</v>
      </c>
      <c r="AK111" s="96">
        <f t="shared" si="148"/>
        <v>100</v>
      </c>
      <c r="AL111" s="559">
        <f t="shared" ref="AL111" si="191">AVERAGE(AK111:AK114)</f>
        <v>100</v>
      </c>
      <c r="AM111" s="559" t="str">
        <f t="shared" ref="AM111" si="192">IF(AL111&lt;=50,"Débil",IF(AL111&lt;=99,"Moderado",IF(AL111=100,"fuerte","")))</f>
        <v>fuerte</v>
      </c>
      <c r="AN111" s="559">
        <f t="shared" ref="AN111" si="193">+IF(AND(Q111="Preventivo",AM111="Fuerte"),2,IF(AND(Q111="Preventivo",AM111="Moderado"),1,0))</f>
        <v>2</v>
      </c>
      <c r="AO111" s="559">
        <f t="shared" ref="AO111" si="194">+IF(AND(Q111="Detectivo",$AM111="Fuerte"),2,IF(AND(Q111="Detectivo",$AM111="Moderado"),1,IF(AND(Q111="Preventivo",$AM111="Fuerte"),1,0)))</f>
        <v>1</v>
      </c>
      <c r="AP111" s="566">
        <f t="shared" ref="AP111" si="195">+K111-AN111</f>
        <v>1</v>
      </c>
      <c r="AQ111" s="566">
        <f t="shared" ref="AQ111" si="196">+M111-AO111</f>
        <v>3</v>
      </c>
      <c r="AR111" s="569" t="str">
        <f>+VLOOKUP(MIN(AP111),Listados!$J$18:$K$24,2,TRUE)</f>
        <v>Rara Vez</v>
      </c>
      <c r="AS111" s="569" t="str">
        <f>+VLOOKUP(MIN(AQ111),Listados!$J$26:$K$32,2,TRUE)</f>
        <v>Moderado</v>
      </c>
      <c r="AT111" s="569" t="str">
        <f>IF(AND(AR111&lt;&gt;"",AS111&lt;&gt;""),VLOOKUP(AR111&amp;AS111,Listados!$M$3:$N$27,2,FALSE),"")</f>
        <v>Moderado</v>
      </c>
      <c r="AU111" s="569" t="str">
        <f>+VLOOKUP(AT111,Listados!$P$3:$Q$6,2,FALSE)</f>
        <v>Asumir el riesgo</v>
      </c>
      <c r="AV111" s="120" t="s">
        <v>492</v>
      </c>
      <c r="AW111" s="97" t="s">
        <v>493</v>
      </c>
      <c r="AX111" s="98">
        <v>45658</v>
      </c>
      <c r="AY111" s="99">
        <v>46022</v>
      </c>
      <c r="AZ111" s="120" t="s">
        <v>494</v>
      </c>
      <c r="BA111" s="120" t="s">
        <v>495</v>
      </c>
      <c r="BB111" s="187" t="s">
        <v>496</v>
      </c>
      <c r="BC111" s="165" t="s">
        <v>497</v>
      </c>
      <c r="BD111" s="789"/>
      <c r="BE111" s="644" t="s">
        <v>498</v>
      </c>
      <c r="BF111" s="647" t="s">
        <v>1622</v>
      </c>
      <c r="BG111" s="650"/>
    </row>
    <row r="112" spans="1:59" ht="129" customHeight="1">
      <c r="A112" s="636"/>
      <c r="B112" s="639"/>
      <c r="C112" s="661"/>
      <c r="D112" s="579"/>
      <c r="E112" s="572"/>
      <c r="F112" s="572"/>
      <c r="G112" s="329" t="s">
        <v>499</v>
      </c>
      <c r="H112" s="337" t="s">
        <v>67</v>
      </c>
      <c r="I112" s="329" t="s">
        <v>500</v>
      </c>
      <c r="J112" s="572"/>
      <c r="K112" s="565"/>
      <c r="L112" s="573"/>
      <c r="M112" s="565"/>
      <c r="N112" s="565"/>
      <c r="O112" s="337" t="s">
        <v>1597</v>
      </c>
      <c r="P112" s="73" t="s">
        <v>499</v>
      </c>
      <c r="Q112" s="350" t="s">
        <v>72</v>
      </c>
      <c r="R112" s="332" t="s">
        <v>73</v>
      </c>
      <c r="S112" s="333">
        <f t="shared" si="138"/>
        <v>15</v>
      </c>
      <c r="T112" s="332" t="s">
        <v>73</v>
      </c>
      <c r="U112" s="333">
        <f t="shared" si="139"/>
        <v>15</v>
      </c>
      <c r="V112" s="332" t="s">
        <v>73</v>
      </c>
      <c r="W112" s="333">
        <f t="shared" si="140"/>
        <v>15</v>
      </c>
      <c r="X112" s="332" t="s">
        <v>72</v>
      </c>
      <c r="Y112" s="333">
        <f t="shared" si="141"/>
        <v>15</v>
      </c>
      <c r="Z112" s="332" t="s">
        <v>73</v>
      </c>
      <c r="AA112" s="333">
        <f t="shared" si="142"/>
        <v>15</v>
      </c>
      <c r="AB112" s="332" t="s">
        <v>73</v>
      </c>
      <c r="AC112" s="333">
        <f t="shared" si="143"/>
        <v>15</v>
      </c>
      <c r="AD112" s="332" t="s">
        <v>74</v>
      </c>
      <c r="AE112" s="333">
        <f t="shared" si="144"/>
        <v>10</v>
      </c>
      <c r="AF112" s="334">
        <f t="shared" si="145"/>
        <v>100</v>
      </c>
      <c r="AG112" s="334" t="str">
        <f t="shared" si="146"/>
        <v>Fuerte</v>
      </c>
      <c r="AH112" s="335" t="s">
        <v>75</v>
      </c>
      <c r="AI112" s="334" t="str">
        <f t="shared" si="147"/>
        <v>Fuerte</v>
      </c>
      <c r="AJ112" s="334" t="str">
        <f>IFERROR(VLOOKUP((CONCATENATE(AG112,AI112)),Listados!$U$3:$V$11,2,FALSE),"")</f>
        <v>Fuerte</v>
      </c>
      <c r="AK112" s="334">
        <f t="shared" si="148"/>
        <v>100</v>
      </c>
      <c r="AL112" s="558"/>
      <c r="AM112" s="558"/>
      <c r="AN112" s="558"/>
      <c r="AO112" s="558"/>
      <c r="AP112" s="567"/>
      <c r="AQ112" s="567"/>
      <c r="AR112" s="565"/>
      <c r="AS112" s="565"/>
      <c r="AT112" s="565"/>
      <c r="AU112" s="565"/>
      <c r="AV112" s="343" t="s">
        <v>501</v>
      </c>
      <c r="AW112" s="336" t="s">
        <v>493</v>
      </c>
      <c r="AX112" s="98">
        <v>45658</v>
      </c>
      <c r="AY112" s="99">
        <v>46022</v>
      </c>
      <c r="AZ112" s="343" t="s">
        <v>494</v>
      </c>
      <c r="BA112" s="343" t="s">
        <v>502</v>
      </c>
      <c r="BB112" s="186" t="s">
        <v>503</v>
      </c>
      <c r="BC112" s="433" t="s">
        <v>504</v>
      </c>
      <c r="BD112" s="790"/>
      <c r="BE112" s="645"/>
      <c r="BF112" s="770"/>
      <c r="BG112" s="651"/>
    </row>
    <row r="113" spans="1:59">
      <c r="A113" s="636"/>
      <c r="B113" s="639"/>
      <c r="C113" s="661"/>
      <c r="D113" s="579"/>
      <c r="E113" s="572"/>
      <c r="F113" s="572"/>
      <c r="G113" s="329"/>
      <c r="H113" s="337"/>
      <c r="I113" s="337"/>
      <c r="J113" s="572"/>
      <c r="K113" s="565"/>
      <c r="L113" s="573"/>
      <c r="M113" s="565"/>
      <c r="N113" s="565"/>
      <c r="O113" s="347"/>
      <c r="P113" s="73"/>
      <c r="Q113" s="348"/>
      <c r="R113" s="332"/>
      <c r="S113" s="333" t="str">
        <f t="shared" si="138"/>
        <v>0</v>
      </c>
      <c r="T113" s="332"/>
      <c r="U113" s="333" t="str">
        <f t="shared" si="139"/>
        <v>0</v>
      </c>
      <c r="V113" s="332"/>
      <c r="W113" s="333" t="str">
        <f t="shared" si="140"/>
        <v>0</v>
      </c>
      <c r="X113" s="332"/>
      <c r="Y113" s="333" t="str">
        <f t="shared" si="141"/>
        <v>0</v>
      </c>
      <c r="Z113" s="332"/>
      <c r="AA113" s="333" t="str">
        <f t="shared" si="142"/>
        <v>0</v>
      </c>
      <c r="AB113" s="332"/>
      <c r="AC113" s="333" t="str">
        <f t="shared" si="143"/>
        <v>0</v>
      </c>
      <c r="AD113" s="332"/>
      <c r="AE113" s="333" t="str">
        <f t="shared" si="144"/>
        <v>0</v>
      </c>
      <c r="AF113" s="334" t="str">
        <f t="shared" si="145"/>
        <v/>
      </c>
      <c r="AG113" s="334" t="str">
        <f t="shared" si="146"/>
        <v/>
      </c>
      <c r="AH113" s="335"/>
      <c r="AI113" s="334" t="str">
        <f t="shared" si="147"/>
        <v/>
      </c>
      <c r="AJ113" s="334" t="str">
        <f>IFERROR(VLOOKUP((CONCATENATE(AG113,AI113)),Listados!$U$3:$V$11,2,FALSE),"")</f>
        <v/>
      </c>
      <c r="AK113" s="334" t="str">
        <f t="shared" si="148"/>
        <v/>
      </c>
      <c r="AL113" s="558"/>
      <c r="AM113" s="558"/>
      <c r="AN113" s="558"/>
      <c r="AO113" s="558"/>
      <c r="AP113" s="567"/>
      <c r="AQ113" s="567"/>
      <c r="AR113" s="565"/>
      <c r="AS113" s="565"/>
      <c r="AT113" s="565"/>
      <c r="AU113" s="565"/>
      <c r="AV113" s="336"/>
      <c r="AW113" s="336"/>
      <c r="AX113" s="339"/>
      <c r="AY113" s="339"/>
      <c r="AZ113" s="336"/>
      <c r="BA113" s="336"/>
      <c r="BB113" s="168"/>
      <c r="BC113" s="433"/>
      <c r="BD113" s="790"/>
      <c r="BE113" s="645"/>
      <c r="BF113" s="770"/>
      <c r="BG113" s="651"/>
    </row>
    <row r="114" spans="1:59">
      <c r="A114" s="637"/>
      <c r="B114" s="640"/>
      <c r="C114" s="662"/>
      <c r="D114" s="549"/>
      <c r="E114" s="586"/>
      <c r="F114" s="586"/>
      <c r="G114" s="256"/>
      <c r="H114" s="257"/>
      <c r="I114" s="257"/>
      <c r="J114" s="586"/>
      <c r="K114" s="570"/>
      <c r="L114" s="587"/>
      <c r="M114" s="570"/>
      <c r="N114" s="570"/>
      <c r="O114" s="258"/>
      <c r="P114" s="146"/>
      <c r="Q114" s="269"/>
      <c r="R114" s="260"/>
      <c r="S114" s="261" t="str">
        <f t="shared" si="138"/>
        <v>0</v>
      </c>
      <c r="T114" s="260"/>
      <c r="U114" s="261" t="str">
        <f t="shared" si="139"/>
        <v>0</v>
      </c>
      <c r="V114" s="260"/>
      <c r="W114" s="261" t="str">
        <f t="shared" si="140"/>
        <v>0</v>
      </c>
      <c r="X114" s="260"/>
      <c r="Y114" s="261" t="str">
        <f t="shared" si="141"/>
        <v>0</v>
      </c>
      <c r="Z114" s="260"/>
      <c r="AA114" s="261" t="str">
        <f t="shared" si="142"/>
        <v>0</v>
      </c>
      <c r="AB114" s="260"/>
      <c r="AC114" s="261" t="str">
        <f t="shared" si="143"/>
        <v>0</v>
      </c>
      <c r="AD114" s="260"/>
      <c r="AE114" s="261" t="str">
        <f t="shared" si="144"/>
        <v>0</v>
      </c>
      <c r="AF114" s="262" t="str">
        <f t="shared" si="145"/>
        <v/>
      </c>
      <c r="AG114" s="262" t="str">
        <f t="shared" si="146"/>
        <v/>
      </c>
      <c r="AH114" s="263"/>
      <c r="AI114" s="262" t="str">
        <f t="shared" si="147"/>
        <v/>
      </c>
      <c r="AJ114" s="262" t="str">
        <f>IFERROR(VLOOKUP((CONCATENATE(AG114,AI114)),Listados!$U$3:$V$11,2,FALSE),"")</f>
        <v/>
      </c>
      <c r="AK114" s="262" t="str">
        <f t="shared" si="148"/>
        <v/>
      </c>
      <c r="AL114" s="560"/>
      <c r="AM114" s="560"/>
      <c r="AN114" s="560"/>
      <c r="AO114" s="560"/>
      <c r="AP114" s="568"/>
      <c r="AQ114" s="568"/>
      <c r="AR114" s="570"/>
      <c r="AS114" s="570"/>
      <c r="AT114" s="570"/>
      <c r="AU114" s="570"/>
      <c r="AV114" s="249"/>
      <c r="AW114" s="249"/>
      <c r="AX114" s="250"/>
      <c r="AY114" s="250"/>
      <c r="AZ114" s="249"/>
      <c r="BA114" s="249"/>
      <c r="BB114" s="169"/>
      <c r="BC114" s="166"/>
      <c r="BD114" s="791"/>
      <c r="BE114" s="646"/>
      <c r="BF114" s="771"/>
      <c r="BG114" s="652"/>
    </row>
    <row r="115" spans="1:59" ht="76.5" customHeight="1" thickBot="1">
      <c r="A115" s="635">
        <v>27</v>
      </c>
      <c r="B115" s="638" t="s">
        <v>505</v>
      </c>
      <c r="C115" s="691" t="s">
        <v>506</v>
      </c>
      <c r="D115" s="584" t="s">
        <v>507</v>
      </c>
      <c r="E115" s="584" t="s">
        <v>221</v>
      </c>
      <c r="F115" s="584" t="s">
        <v>65</v>
      </c>
      <c r="G115" s="113" t="s">
        <v>508</v>
      </c>
      <c r="H115" s="128" t="s">
        <v>67</v>
      </c>
      <c r="I115" s="188" t="s">
        <v>509</v>
      </c>
      <c r="J115" s="584" t="s">
        <v>106</v>
      </c>
      <c r="K115" s="569">
        <f>+VLOOKUP(J115,Listados!$K$8:$L$12,2,0)</f>
        <v>4</v>
      </c>
      <c r="L115" s="585" t="s">
        <v>326</v>
      </c>
      <c r="M115" s="569">
        <f>+VLOOKUP(L115,Listados!$K$13:$L$17,2,0)</f>
        <v>4</v>
      </c>
      <c r="N115" s="569" t="str">
        <f>IF(AND(J115&lt;&gt;"",L115&lt;&gt;""),VLOOKUP(J115&amp;L115,Listados!$M$3:$N$27,2,FALSE),"")</f>
        <v>Extremo</v>
      </c>
      <c r="O115" s="92" t="s">
        <v>510</v>
      </c>
      <c r="P115" s="105" t="s">
        <v>511</v>
      </c>
      <c r="Q115" s="130" t="s">
        <v>83</v>
      </c>
      <c r="R115" s="94" t="s">
        <v>73</v>
      </c>
      <c r="S115" s="93">
        <f t="shared" si="138"/>
        <v>15</v>
      </c>
      <c r="T115" s="94" t="s">
        <v>73</v>
      </c>
      <c r="U115" s="93">
        <f t="shared" si="139"/>
        <v>15</v>
      </c>
      <c r="V115" s="94" t="s">
        <v>73</v>
      </c>
      <c r="W115" s="93">
        <f t="shared" si="140"/>
        <v>15</v>
      </c>
      <c r="X115" s="94" t="s">
        <v>83</v>
      </c>
      <c r="Y115" s="93">
        <f t="shared" si="141"/>
        <v>10</v>
      </c>
      <c r="Z115" s="94" t="s">
        <v>73</v>
      </c>
      <c r="AA115" s="93">
        <f t="shared" si="142"/>
        <v>15</v>
      </c>
      <c r="AB115" s="94" t="s">
        <v>73</v>
      </c>
      <c r="AC115" s="93">
        <f t="shared" si="143"/>
        <v>15</v>
      </c>
      <c r="AD115" s="94" t="s">
        <v>74</v>
      </c>
      <c r="AE115" s="93">
        <f t="shared" si="144"/>
        <v>10</v>
      </c>
      <c r="AF115" s="96">
        <f t="shared" si="145"/>
        <v>95</v>
      </c>
      <c r="AG115" s="96" t="str">
        <f t="shared" si="146"/>
        <v>Moderado</v>
      </c>
      <c r="AH115" s="107" t="s">
        <v>75</v>
      </c>
      <c r="AI115" s="96" t="str">
        <f t="shared" si="147"/>
        <v>Fuerte</v>
      </c>
      <c r="AJ115" s="96" t="str">
        <f>IFERROR(VLOOKUP((CONCATENATE(AG115,AI115)),Listados!$U$3:$V$11,2,FALSE),"")</f>
        <v>Moderado</v>
      </c>
      <c r="AK115" s="96">
        <f t="shared" si="148"/>
        <v>50</v>
      </c>
      <c r="AL115" s="559">
        <f t="shared" ref="AL115" si="197">AVERAGE(AK115:AK118)</f>
        <v>75</v>
      </c>
      <c r="AM115" s="559" t="str">
        <f t="shared" ref="AM115" si="198">IF(AL115&lt;=50,"Débil",IF(AL115&lt;=99,"Moderado",IF(AL115=100,"fuerte","")))</f>
        <v>Moderado</v>
      </c>
      <c r="AN115" s="559">
        <f t="shared" ref="AN115" si="199">+IF(AND(Q115="Preventivo",AM115="Fuerte"),2,IF(AND(Q115="Preventivo",AM115="Moderado"),1,0))</f>
        <v>0</v>
      </c>
      <c r="AO115" s="559">
        <f t="shared" ref="AO115" si="200">+IF(AND(Q115="Detectivo",$AM115="Fuerte"),2,IF(AND(Q115="Detectivo",$AM115="Moderado"),1,IF(AND(Q115="Preventivo",$AM115="Fuerte"),1,0)))</f>
        <v>1</v>
      </c>
      <c r="AP115" s="566">
        <f t="shared" ref="AP115" si="201">+K115-AN115</f>
        <v>4</v>
      </c>
      <c r="AQ115" s="566">
        <f t="shared" ref="AQ115" si="202">+M115-AO115</f>
        <v>3</v>
      </c>
      <c r="AR115" s="569" t="str">
        <f>+VLOOKUP(MIN(AP115),Listados!$J$18:$K$24,2,TRUE)</f>
        <v>Probable</v>
      </c>
      <c r="AS115" s="569" t="str">
        <f>+VLOOKUP(MIN(AQ115),Listados!$J$26:$K$32,2,TRUE)</f>
        <v>Moderado</v>
      </c>
      <c r="AT115" s="569" t="str">
        <f>IF(AND(AR115&lt;&gt;"",AS115&lt;&gt;""),VLOOKUP(AR115&amp;AS115,Listados!$M$3:$N$27,2,FALSE),"")</f>
        <v>Alto</v>
      </c>
      <c r="AU115" s="569" t="str">
        <f>+VLOOKUP(AT115,Listados!$P$3:$Q$6,2,FALSE)</f>
        <v>Reducir el riesgo</v>
      </c>
      <c r="AV115" s="190" t="s">
        <v>512</v>
      </c>
      <c r="AW115" s="189" t="s">
        <v>131</v>
      </c>
      <c r="AX115" s="122">
        <v>45658</v>
      </c>
      <c r="AY115" s="123">
        <v>45991</v>
      </c>
      <c r="AZ115" s="113" t="s">
        <v>513</v>
      </c>
      <c r="BA115" s="191" t="s">
        <v>514</v>
      </c>
      <c r="BB115" s="786" t="s">
        <v>515</v>
      </c>
      <c r="BC115" s="786" t="s">
        <v>516</v>
      </c>
      <c r="BD115" s="789"/>
      <c r="BE115" s="644" t="s">
        <v>517</v>
      </c>
      <c r="BF115" s="647" t="s">
        <v>1623</v>
      </c>
      <c r="BG115" s="650"/>
    </row>
    <row r="116" spans="1:59" ht="84.75" customHeight="1">
      <c r="A116" s="636"/>
      <c r="B116" s="639"/>
      <c r="C116" s="661"/>
      <c r="D116" s="572"/>
      <c r="E116" s="572"/>
      <c r="F116" s="572"/>
      <c r="G116" s="363" t="s">
        <v>518</v>
      </c>
      <c r="H116" s="337" t="s">
        <v>67</v>
      </c>
      <c r="I116" s="128" t="s">
        <v>519</v>
      </c>
      <c r="J116" s="572"/>
      <c r="K116" s="565"/>
      <c r="L116" s="573"/>
      <c r="M116" s="565"/>
      <c r="N116" s="565"/>
      <c r="O116" s="342" t="s">
        <v>520</v>
      </c>
      <c r="P116" s="73" t="s">
        <v>521</v>
      </c>
      <c r="Q116" s="350" t="s">
        <v>72</v>
      </c>
      <c r="R116" s="332" t="s">
        <v>73</v>
      </c>
      <c r="S116" s="333">
        <f t="shared" si="138"/>
        <v>15</v>
      </c>
      <c r="T116" s="332" t="s">
        <v>73</v>
      </c>
      <c r="U116" s="333">
        <f t="shared" si="139"/>
        <v>15</v>
      </c>
      <c r="V116" s="332" t="s">
        <v>73</v>
      </c>
      <c r="W116" s="333">
        <f t="shared" si="140"/>
        <v>15</v>
      </c>
      <c r="X116" s="332" t="s">
        <v>72</v>
      </c>
      <c r="Y116" s="333">
        <f t="shared" si="141"/>
        <v>15</v>
      </c>
      <c r="Z116" s="332" t="s">
        <v>73</v>
      </c>
      <c r="AA116" s="333">
        <f t="shared" si="142"/>
        <v>15</v>
      </c>
      <c r="AB116" s="332" t="s">
        <v>73</v>
      </c>
      <c r="AC116" s="333">
        <f t="shared" si="143"/>
        <v>15</v>
      </c>
      <c r="AD116" s="332" t="s">
        <v>74</v>
      </c>
      <c r="AE116" s="333">
        <f t="shared" si="144"/>
        <v>10</v>
      </c>
      <c r="AF116" s="334">
        <f t="shared" si="145"/>
        <v>100</v>
      </c>
      <c r="AG116" s="334" t="str">
        <f t="shared" si="146"/>
        <v>Fuerte</v>
      </c>
      <c r="AH116" s="335" t="s">
        <v>75</v>
      </c>
      <c r="AI116" s="334" t="str">
        <f t="shared" si="147"/>
        <v>Fuerte</v>
      </c>
      <c r="AJ116" s="334" t="str">
        <f>IFERROR(VLOOKUP((CONCATENATE(AG116,AI116)),Listados!$U$3:$V$11,2,FALSE),"")</f>
        <v>Fuerte</v>
      </c>
      <c r="AK116" s="334">
        <f t="shared" si="148"/>
        <v>100</v>
      </c>
      <c r="AL116" s="558"/>
      <c r="AM116" s="558"/>
      <c r="AN116" s="558"/>
      <c r="AO116" s="558"/>
      <c r="AP116" s="567"/>
      <c r="AQ116" s="567"/>
      <c r="AR116" s="565"/>
      <c r="AS116" s="565"/>
      <c r="AT116" s="565"/>
      <c r="AU116" s="565"/>
      <c r="AV116" s="234" t="s">
        <v>522</v>
      </c>
      <c r="AW116" s="364" t="s">
        <v>159</v>
      </c>
      <c r="AX116" s="349">
        <v>45658</v>
      </c>
      <c r="AY116" s="365">
        <v>45991</v>
      </c>
      <c r="AZ116" s="363" t="s">
        <v>523</v>
      </c>
      <c r="BA116" s="235" t="s">
        <v>524</v>
      </c>
      <c r="BB116" s="787"/>
      <c r="BC116" s="787"/>
      <c r="BD116" s="790"/>
      <c r="BE116" s="645"/>
      <c r="BF116" s="648"/>
      <c r="BG116" s="651"/>
    </row>
    <row r="117" spans="1:59" ht="91.5" customHeight="1">
      <c r="A117" s="636"/>
      <c r="B117" s="639"/>
      <c r="C117" s="661"/>
      <c r="D117" s="572"/>
      <c r="E117" s="572"/>
      <c r="F117" s="572"/>
      <c r="G117" s="363" t="s">
        <v>525</v>
      </c>
      <c r="H117" s="337" t="s">
        <v>67</v>
      </c>
      <c r="I117" s="128" t="s">
        <v>526</v>
      </c>
      <c r="J117" s="572"/>
      <c r="K117" s="565"/>
      <c r="L117" s="573"/>
      <c r="M117" s="565"/>
      <c r="N117" s="565"/>
      <c r="O117" s="342" t="s">
        <v>527</v>
      </c>
      <c r="P117" s="73" t="s">
        <v>528</v>
      </c>
      <c r="Q117" s="348" t="s">
        <v>72</v>
      </c>
      <c r="R117" s="332" t="s">
        <v>73</v>
      </c>
      <c r="S117" s="333">
        <f t="shared" si="138"/>
        <v>15</v>
      </c>
      <c r="T117" s="332" t="s">
        <v>73</v>
      </c>
      <c r="U117" s="333">
        <f t="shared" si="139"/>
        <v>15</v>
      </c>
      <c r="V117" s="332" t="s">
        <v>73</v>
      </c>
      <c r="W117" s="333">
        <f t="shared" si="140"/>
        <v>15</v>
      </c>
      <c r="X117" s="332" t="s">
        <v>72</v>
      </c>
      <c r="Y117" s="333">
        <f t="shared" si="141"/>
        <v>15</v>
      </c>
      <c r="Z117" s="332" t="s">
        <v>73</v>
      </c>
      <c r="AA117" s="333">
        <f t="shared" si="142"/>
        <v>15</v>
      </c>
      <c r="AB117" s="332" t="s">
        <v>73</v>
      </c>
      <c r="AC117" s="333">
        <f t="shared" si="143"/>
        <v>15</v>
      </c>
      <c r="AD117" s="332" t="s">
        <v>74</v>
      </c>
      <c r="AE117" s="333">
        <f t="shared" si="144"/>
        <v>10</v>
      </c>
      <c r="AF117" s="334">
        <f t="shared" si="145"/>
        <v>100</v>
      </c>
      <c r="AG117" s="334" t="str">
        <f t="shared" si="146"/>
        <v>Fuerte</v>
      </c>
      <c r="AH117" s="335" t="s">
        <v>75</v>
      </c>
      <c r="AI117" s="334" t="str">
        <f t="shared" si="147"/>
        <v>Fuerte</v>
      </c>
      <c r="AJ117" s="334" t="str">
        <f>IFERROR(VLOOKUP((CONCATENATE(AG117,AI117)),Listados!$U$3:$V$11,2,FALSE),"")</f>
        <v>Fuerte</v>
      </c>
      <c r="AK117" s="334">
        <f t="shared" si="148"/>
        <v>100</v>
      </c>
      <c r="AL117" s="558"/>
      <c r="AM117" s="558"/>
      <c r="AN117" s="558"/>
      <c r="AO117" s="558"/>
      <c r="AP117" s="567"/>
      <c r="AQ117" s="567"/>
      <c r="AR117" s="565"/>
      <c r="AS117" s="565"/>
      <c r="AT117" s="565"/>
      <c r="AU117" s="565"/>
      <c r="AV117" s="366" t="s">
        <v>529</v>
      </c>
      <c r="AW117" s="364" t="s">
        <v>110</v>
      </c>
      <c r="AX117" s="349">
        <v>45658</v>
      </c>
      <c r="AY117" s="365">
        <v>45991</v>
      </c>
      <c r="AZ117" s="234" t="s">
        <v>530</v>
      </c>
      <c r="BA117" s="234" t="s">
        <v>531</v>
      </c>
      <c r="BB117" s="787"/>
      <c r="BC117" s="787"/>
      <c r="BD117" s="790"/>
      <c r="BE117" s="645"/>
      <c r="BF117" s="648"/>
      <c r="BG117" s="651"/>
    </row>
    <row r="118" spans="1:59" ht="99" customHeight="1">
      <c r="A118" s="637"/>
      <c r="B118" s="640"/>
      <c r="C118" s="662"/>
      <c r="D118" s="586"/>
      <c r="E118" s="586"/>
      <c r="F118" s="586"/>
      <c r="G118" s="273" t="s">
        <v>532</v>
      </c>
      <c r="H118" s="257" t="s">
        <v>67</v>
      </c>
      <c r="I118" s="257" t="s">
        <v>533</v>
      </c>
      <c r="J118" s="586"/>
      <c r="K118" s="570"/>
      <c r="L118" s="587"/>
      <c r="M118" s="570"/>
      <c r="N118" s="570"/>
      <c r="O118" s="342" t="s">
        <v>534</v>
      </c>
      <c r="P118" s="146" t="s">
        <v>535</v>
      </c>
      <c r="Q118" s="269" t="s">
        <v>83</v>
      </c>
      <c r="R118" s="260" t="s">
        <v>73</v>
      </c>
      <c r="S118" s="261">
        <f t="shared" si="138"/>
        <v>15</v>
      </c>
      <c r="T118" s="260" t="s">
        <v>73</v>
      </c>
      <c r="U118" s="261">
        <f t="shared" si="139"/>
        <v>15</v>
      </c>
      <c r="V118" s="260" t="s">
        <v>73</v>
      </c>
      <c r="W118" s="261">
        <f t="shared" si="140"/>
        <v>15</v>
      </c>
      <c r="X118" s="260" t="s">
        <v>83</v>
      </c>
      <c r="Y118" s="261">
        <f t="shared" si="141"/>
        <v>10</v>
      </c>
      <c r="Z118" s="260" t="s">
        <v>73</v>
      </c>
      <c r="AA118" s="261">
        <f t="shared" si="142"/>
        <v>15</v>
      </c>
      <c r="AB118" s="260" t="s">
        <v>73</v>
      </c>
      <c r="AC118" s="261">
        <f t="shared" si="143"/>
        <v>15</v>
      </c>
      <c r="AD118" s="260" t="s">
        <v>74</v>
      </c>
      <c r="AE118" s="261">
        <f t="shared" si="144"/>
        <v>10</v>
      </c>
      <c r="AF118" s="262">
        <f>IF((SUM(S118,U118,W118,Y118,AA118,AC118,AE118)=0),"",(SUM(S118,U118,W118,Y118,AA118,AC118,AE118)))</f>
        <v>95</v>
      </c>
      <c r="AG118" s="262" t="str">
        <f>IF(AF118&lt;=85,"Débil",IF(AF118&lt;=95,"Moderado",IF(AF118=100,"Fuerte","")))</f>
        <v>Moderado</v>
      </c>
      <c r="AH118" s="263" t="s">
        <v>75</v>
      </c>
      <c r="AI118" s="262" t="str">
        <f t="shared" si="147"/>
        <v>Fuerte</v>
      </c>
      <c r="AJ118" s="262" t="str">
        <f>IFERROR(VLOOKUP((CONCATENATE(AG118,AI118)),Listados!$U$3:$V$11,2,FALSE),"")</f>
        <v>Moderado</v>
      </c>
      <c r="AK118" s="262">
        <f t="shared" si="148"/>
        <v>50</v>
      </c>
      <c r="AL118" s="560"/>
      <c r="AM118" s="560"/>
      <c r="AN118" s="560"/>
      <c r="AO118" s="560"/>
      <c r="AP118" s="568"/>
      <c r="AQ118" s="568"/>
      <c r="AR118" s="570"/>
      <c r="AS118" s="570"/>
      <c r="AT118" s="570"/>
      <c r="AU118" s="570"/>
      <c r="AV118" s="274" t="s">
        <v>536</v>
      </c>
      <c r="AW118" s="251" t="s">
        <v>131</v>
      </c>
      <c r="AX118" s="252">
        <v>45658</v>
      </c>
      <c r="AY118" s="253">
        <v>45991</v>
      </c>
      <c r="AZ118" s="192" t="s">
        <v>537</v>
      </c>
      <c r="BA118" s="254" t="s">
        <v>538</v>
      </c>
      <c r="BB118" s="788"/>
      <c r="BC118" s="788"/>
      <c r="BD118" s="791"/>
      <c r="BE118" s="646"/>
      <c r="BF118" s="649"/>
      <c r="BG118" s="652"/>
    </row>
    <row r="119" spans="1:59" ht="66.75" customHeight="1">
      <c r="A119" s="635">
        <v>28</v>
      </c>
      <c r="B119" s="638" t="s">
        <v>275</v>
      </c>
      <c r="C119" s="691" t="s">
        <v>539</v>
      </c>
      <c r="D119" s="713" t="s">
        <v>540</v>
      </c>
      <c r="E119" s="584" t="s">
        <v>221</v>
      </c>
      <c r="F119" s="584" t="s">
        <v>541</v>
      </c>
      <c r="G119" s="92" t="s">
        <v>542</v>
      </c>
      <c r="H119" s="128" t="s">
        <v>155</v>
      </c>
      <c r="I119" s="92" t="s">
        <v>543</v>
      </c>
      <c r="J119" s="584" t="s">
        <v>412</v>
      </c>
      <c r="K119" s="569">
        <f>+VLOOKUP(J119,Listados!$K$8:$L$12,2,0)</f>
        <v>1</v>
      </c>
      <c r="L119" s="585" t="s">
        <v>89</v>
      </c>
      <c r="M119" s="569">
        <f>+VLOOKUP(L119,Listados!$K$13:$L$17,2,0)</f>
        <v>3</v>
      </c>
      <c r="N119" s="569" t="str">
        <f>IF(AND(J119&lt;&gt;"",L119&lt;&gt;""),VLOOKUP(J119&amp;L119,Listados!$M$3:$N$27,2,FALSE),"")</f>
        <v>Moderado</v>
      </c>
      <c r="O119" s="128" t="s">
        <v>544</v>
      </c>
      <c r="P119" s="92" t="s">
        <v>542</v>
      </c>
      <c r="Q119" s="130" t="s">
        <v>83</v>
      </c>
      <c r="R119" s="94" t="s">
        <v>73</v>
      </c>
      <c r="S119" s="93">
        <f t="shared" si="138"/>
        <v>15</v>
      </c>
      <c r="T119" s="94" t="s">
        <v>73</v>
      </c>
      <c r="U119" s="93">
        <f t="shared" si="139"/>
        <v>15</v>
      </c>
      <c r="V119" s="94" t="s">
        <v>73</v>
      </c>
      <c r="W119" s="93">
        <f t="shared" si="140"/>
        <v>15</v>
      </c>
      <c r="X119" s="94" t="s">
        <v>83</v>
      </c>
      <c r="Y119" s="93">
        <f t="shared" si="141"/>
        <v>10</v>
      </c>
      <c r="Z119" s="94" t="s">
        <v>73</v>
      </c>
      <c r="AA119" s="93">
        <f t="shared" si="142"/>
        <v>15</v>
      </c>
      <c r="AB119" s="94" t="s">
        <v>73</v>
      </c>
      <c r="AC119" s="93">
        <f t="shared" si="143"/>
        <v>15</v>
      </c>
      <c r="AD119" s="94" t="s">
        <v>74</v>
      </c>
      <c r="AE119" s="93">
        <f t="shared" si="144"/>
        <v>10</v>
      </c>
      <c r="AF119" s="96">
        <f t="shared" si="145"/>
        <v>95</v>
      </c>
      <c r="AG119" s="96" t="str">
        <f t="shared" si="146"/>
        <v>Moderado</v>
      </c>
      <c r="AH119" s="107" t="s">
        <v>75</v>
      </c>
      <c r="AI119" s="96" t="str">
        <f t="shared" si="147"/>
        <v>Fuerte</v>
      </c>
      <c r="AJ119" s="334" t="str">
        <f>IFERROR(VLOOKUP((CONCATENATE(AG119,AI119)),Listados!$U$3:$V$11,2,FALSE),"")</f>
        <v>Moderado</v>
      </c>
      <c r="AK119" s="96">
        <f t="shared" si="148"/>
        <v>50</v>
      </c>
      <c r="AL119" s="559">
        <f t="shared" ref="AL119" si="203">AVERAGE(AK119:AK122)</f>
        <v>87.5</v>
      </c>
      <c r="AM119" s="559" t="str">
        <f t="shared" ref="AM119" si="204">IF(AL119&lt;=50,"Débil",IF(AL119&lt;=99,"Moderado",IF(AL119=100,"fuerte","")))</f>
        <v>Moderado</v>
      </c>
      <c r="AN119" s="559">
        <f t="shared" ref="AN119" si="205">+IF(AND(Q119="Preventivo",AM119="Fuerte"),2,IF(AND(Q119="Preventivo",AM119="Moderado"),1,0))</f>
        <v>0</v>
      </c>
      <c r="AO119" s="559">
        <f t="shared" ref="AO119" si="206">+IF(AND(Q119="Detectivo",$AM119="Fuerte"),2,IF(AND(Q119="Detectivo",$AM119="Moderado"),1,IF(AND(Q119="Preventivo",$AM119="Fuerte"),1,0)))</f>
        <v>1</v>
      </c>
      <c r="AP119" s="566">
        <f t="shared" ref="AP119" si="207">+K119-AN119</f>
        <v>1</v>
      </c>
      <c r="AQ119" s="566">
        <f t="shared" ref="AQ119" si="208">+M119-AO119</f>
        <v>2</v>
      </c>
      <c r="AR119" s="569" t="str">
        <f>+VLOOKUP(MIN(AP119),Listados!$J$18:$K$24,2,TRUE)</f>
        <v>Rara Vez</v>
      </c>
      <c r="AS119" s="569" t="str">
        <f>+VLOOKUP(MIN(AQ119),Listados!$J$26:$K$32,2,TRUE)</f>
        <v>Menor</v>
      </c>
      <c r="AT119" s="569" t="str">
        <f>IF(AND(AR119&lt;&gt;"",AS119&lt;&gt;""),VLOOKUP(AR119&amp;AS119,Listados!$M$3:$N$27,2,FALSE),"")</f>
        <v>Bajo</v>
      </c>
      <c r="AU119" s="569" t="str">
        <f>+VLOOKUP(AT119,Listados!$P$3:$Q$6,2,FALSE)</f>
        <v>Asumir el riesgo</v>
      </c>
      <c r="AV119" s="120" t="s">
        <v>545</v>
      </c>
      <c r="AW119" s="194" t="s">
        <v>546</v>
      </c>
      <c r="AX119" s="195">
        <v>45839</v>
      </c>
      <c r="AY119" s="195">
        <v>45960</v>
      </c>
      <c r="AZ119" s="120" t="s">
        <v>547</v>
      </c>
      <c r="BA119" s="120" t="s">
        <v>548</v>
      </c>
      <c r="BB119" s="786" t="s">
        <v>549</v>
      </c>
      <c r="BC119" s="786" t="s">
        <v>550</v>
      </c>
      <c r="BD119" s="789"/>
      <c r="BE119" s="644" t="s">
        <v>551</v>
      </c>
      <c r="BF119" s="647" t="s">
        <v>1624</v>
      </c>
      <c r="BG119" s="650"/>
    </row>
    <row r="120" spans="1:59" ht="71.25">
      <c r="A120" s="636"/>
      <c r="B120" s="639"/>
      <c r="C120" s="661"/>
      <c r="D120" s="714"/>
      <c r="E120" s="572"/>
      <c r="F120" s="572"/>
      <c r="G120" s="329" t="s">
        <v>552</v>
      </c>
      <c r="H120" s="337" t="s">
        <v>67</v>
      </c>
      <c r="I120" s="329" t="s">
        <v>553</v>
      </c>
      <c r="J120" s="572"/>
      <c r="K120" s="565"/>
      <c r="L120" s="573"/>
      <c r="M120" s="565"/>
      <c r="N120" s="565"/>
      <c r="O120" s="128" t="s">
        <v>554</v>
      </c>
      <c r="P120" s="211" t="s">
        <v>555</v>
      </c>
      <c r="Q120" s="350" t="s">
        <v>72</v>
      </c>
      <c r="R120" s="332" t="s">
        <v>73</v>
      </c>
      <c r="S120" s="333">
        <f t="shared" si="138"/>
        <v>15</v>
      </c>
      <c r="T120" s="332" t="s">
        <v>73</v>
      </c>
      <c r="U120" s="333">
        <f t="shared" si="139"/>
        <v>15</v>
      </c>
      <c r="V120" s="332" t="s">
        <v>73</v>
      </c>
      <c r="W120" s="333">
        <f t="shared" si="140"/>
        <v>15</v>
      </c>
      <c r="X120" s="332" t="s">
        <v>72</v>
      </c>
      <c r="Y120" s="333">
        <f t="shared" si="141"/>
        <v>15</v>
      </c>
      <c r="Z120" s="332" t="s">
        <v>73</v>
      </c>
      <c r="AA120" s="333">
        <f t="shared" si="142"/>
        <v>15</v>
      </c>
      <c r="AB120" s="332" t="s">
        <v>73</v>
      </c>
      <c r="AC120" s="333">
        <f t="shared" si="143"/>
        <v>15</v>
      </c>
      <c r="AD120" s="332" t="s">
        <v>74</v>
      </c>
      <c r="AE120" s="333">
        <f t="shared" si="144"/>
        <v>10</v>
      </c>
      <c r="AF120" s="334">
        <f t="shared" si="145"/>
        <v>100</v>
      </c>
      <c r="AG120" s="334" t="str">
        <f t="shared" si="146"/>
        <v>Fuerte</v>
      </c>
      <c r="AH120" s="335" t="s">
        <v>75</v>
      </c>
      <c r="AI120" s="334" t="str">
        <f t="shared" si="147"/>
        <v>Fuerte</v>
      </c>
      <c r="AJ120" s="334" t="str">
        <f>IFERROR(VLOOKUP((CONCATENATE(AG120,AI120)),Listados!$U$3:$V$11,2,FALSE),"")</f>
        <v>Fuerte</v>
      </c>
      <c r="AK120" s="334">
        <f t="shared" si="148"/>
        <v>100</v>
      </c>
      <c r="AL120" s="558"/>
      <c r="AM120" s="558"/>
      <c r="AN120" s="558"/>
      <c r="AO120" s="558"/>
      <c r="AP120" s="567"/>
      <c r="AQ120" s="567"/>
      <c r="AR120" s="565"/>
      <c r="AS120" s="565"/>
      <c r="AT120" s="565"/>
      <c r="AU120" s="565"/>
      <c r="AV120" s="120" t="s">
        <v>556</v>
      </c>
      <c r="AW120" s="367" t="s">
        <v>557</v>
      </c>
      <c r="AX120" s="368">
        <v>45748</v>
      </c>
      <c r="AY120" s="368">
        <v>46022</v>
      </c>
      <c r="AZ120" s="343" t="s">
        <v>547</v>
      </c>
      <c r="BA120" s="343" t="s">
        <v>558</v>
      </c>
      <c r="BB120" s="787"/>
      <c r="BC120" s="787"/>
      <c r="BD120" s="790"/>
      <c r="BE120" s="645"/>
      <c r="BF120" s="648"/>
      <c r="BG120" s="651"/>
    </row>
    <row r="121" spans="1:59" ht="100.5" customHeight="1">
      <c r="A121" s="636"/>
      <c r="B121" s="639"/>
      <c r="C121" s="661"/>
      <c r="D121" s="714"/>
      <c r="E121" s="572"/>
      <c r="F121" s="572"/>
      <c r="G121" s="329" t="s">
        <v>559</v>
      </c>
      <c r="H121" s="337" t="s">
        <v>67</v>
      </c>
      <c r="I121" s="329" t="s">
        <v>560</v>
      </c>
      <c r="J121" s="572"/>
      <c r="K121" s="565"/>
      <c r="L121" s="573"/>
      <c r="M121" s="565"/>
      <c r="N121" s="565"/>
      <c r="O121" s="128" t="s">
        <v>561</v>
      </c>
      <c r="P121" s="211" t="s">
        <v>552</v>
      </c>
      <c r="Q121" s="348" t="s">
        <v>72</v>
      </c>
      <c r="R121" s="332" t="s">
        <v>73</v>
      </c>
      <c r="S121" s="333">
        <f t="shared" si="138"/>
        <v>15</v>
      </c>
      <c r="T121" s="332" t="s">
        <v>73</v>
      </c>
      <c r="U121" s="333">
        <f t="shared" si="139"/>
        <v>15</v>
      </c>
      <c r="V121" s="332" t="s">
        <v>73</v>
      </c>
      <c r="W121" s="333">
        <f t="shared" si="140"/>
        <v>15</v>
      </c>
      <c r="X121" s="332" t="s">
        <v>72</v>
      </c>
      <c r="Y121" s="333">
        <f t="shared" si="141"/>
        <v>15</v>
      </c>
      <c r="Z121" s="332" t="s">
        <v>73</v>
      </c>
      <c r="AA121" s="333">
        <f t="shared" si="142"/>
        <v>15</v>
      </c>
      <c r="AB121" s="332" t="s">
        <v>73</v>
      </c>
      <c r="AC121" s="333">
        <f t="shared" si="143"/>
        <v>15</v>
      </c>
      <c r="AD121" s="332" t="s">
        <v>74</v>
      </c>
      <c r="AE121" s="333">
        <f t="shared" si="144"/>
        <v>10</v>
      </c>
      <c r="AF121" s="334">
        <f t="shared" si="145"/>
        <v>100</v>
      </c>
      <c r="AG121" s="334" t="str">
        <f t="shared" si="146"/>
        <v>Fuerte</v>
      </c>
      <c r="AH121" s="335" t="s">
        <v>75</v>
      </c>
      <c r="AI121" s="334" t="str">
        <f t="shared" si="147"/>
        <v>Fuerte</v>
      </c>
      <c r="AJ121" s="334" t="str">
        <f>IFERROR(VLOOKUP((CONCATENATE(AG121,AI121)),Listados!$U$3:$V$11,2,FALSE),"")</f>
        <v>Fuerte</v>
      </c>
      <c r="AK121" s="334">
        <f t="shared" si="148"/>
        <v>100</v>
      </c>
      <c r="AL121" s="558"/>
      <c r="AM121" s="558"/>
      <c r="AN121" s="558"/>
      <c r="AO121" s="558"/>
      <c r="AP121" s="567"/>
      <c r="AQ121" s="567"/>
      <c r="AR121" s="565"/>
      <c r="AS121" s="565"/>
      <c r="AT121" s="565"/>
      <c r="AU121" s="565"/>
      <c r="AV121" s="120" t="s">
        <v>562</v>
      </c>
      <c r="AW121" s="336" t="s">
        <v>131</v>
      </c>
      <c r="AX121" s="339">
        <v>45748</v>
      </c>
      <c r="AY121" s="339">
        <v>46022</v>
      </c>
      <c r="AZ121" s="336" t="s">
        <v>563</v>
      </c>
      <c r="BA121" s="336" t="s">
        <v>564</v>
      </c>
      <c r="BB121" s="787"/>
      <c r="BC121" s="787"/>
      <c r="BD121" s="790"/>
      <c r="BE121" s="645"/>
      <c r="BF121" s="648"/>
      <c r="BG121" s="651"/>
    </row>
    <row r="122" spans="1:59" ht="75" customHeight="1" thickBot="1">
      <c r="A122" s="637"/>
      <c r="B122" s="640"/>
      <c r="C122" s="662"/>
      <c r="D122" s="714"/>
      <c r="E122" s="586"/>
      <c r="F122" s="586"/>
      <c r="G122" s="256" t="s">
        <v>555</v>
      </c>
      <c r="H122" s="257" t="s">
        <v>67</v>
      </c>
      <c r="I122" s="256" t="s">
        <v>565</v>
      </c>
      <c r="J122" s="586"/>
      <c r="K122" s="570"/>
      <c r="L122" s="587"/>
      <c r="M122" s="570"/>
      <c r="N122" s="570"/>
      <c r="O122" s="128" t="s">
        <v>566</v>
      </c>
      <c r="P122" s="213" t="s">
        <v>559</v>
      </c>
      <c r="Q122" s="269" t="s">
        <v>72</v>
      </c>
      <c r="R122" s="260" t="s">
        <v>73</v>
      </c>
      <c r="S122" s="261">
        <f t="shared" si="138"/>
        <v>15</v>
      </c>
      <c r="T122" s="260" t="s">
        <v>73</v>
      </c>
      <c r="U122" s="261">
        <f t="shared" si="139"/>
        <v>15</v>
      </c>
      <c r="V122" s="260" t="s">
        <v>73</v>
      </c>
      <c r="W122" s="261">
        <f t="shared" si="140"/>
        <v>15</v>
      </c>
      <c r="X122" s="260" t="s">
        <v>72</v>
      </c>
      <c r="Y122" s="261">
        <f t="shared" si="141"/>
        <v>15</v>
      </c>
      <c r="Z122" s="260" t="s">
        <v>73</v>
      </c>
      <c r="AA122" s="261">
        <f t="shared" si="142"/>
        <v>15</v>
      </c>
      <c r="AB122" s="260" t="s">
        <v>73</v>
      </c>
      <c r="AC122" s="261">
        <f t="shared" si="143"/>
        <v>15</v>
      </c>
      <c r="AD122" s="260" t="s">
        <v>74</v>
      </c>
      <c r="AE122" s="261">
        <f t="shared" si="144"/>
        <v>10</v>
      </c>
      <c r="AF122" s="262">
        <f t="shared" si="145"/>
        <v>100</v>
      </c>
      <c r="AG122" s="262" t="str">
        <f t="shared" si="146"/>
        <v>Fuerte</v>
      </c>
      <c r="AH122" s="263" t="s">
        <v>75</v>
      </c>
      <c r="AI122" s="262" t="str">
        <f t="shared" si="147"/>
        <v>Fuerte</v>
      </c>
      <c r="AJ122" s="262" t="str">
        <f>IFERROR(VLOOKUP((CONCATENATE(AG122,AI122)),Listados!$U$3:$V$11,2,FALSE),"")</f>
        <v>Fuerte</v>
      </c>
      <c r="AK122" s="262">
        <f t="shared" si="148"/>
        <v>100</v>
      </c>
      <c r="AL122" s="560"/>
      <c r="AM122" s="560"/>
      <c r="AN122" s="560"/>
      <c r="AO122" s="560"/>
      <c r="AP122" s="568"/>
      <c r="AQ122" s="568"/>
      <c r="AR122" s="570"/>
      <c r="AS122" s="570"/>
      <c r="AT122" s="570"/>
      <c r="AU122" s="570"/>
      <c r="AV122" s="249" t="s">
        <v>567</v>
      </c>
      <c r="AW122" s="249" t="s">
        <v>568</v>
      </c>
      <c r="AX122" s="250">
        <v>45901</v>
      </c>
      <c r="AY122" s="250">
        <v>46022</v>
      </c>
      <c r="AZ122" s="249" t="s">
        <v>547</v>
      </c>
      <c r="BA122" s="249" t="s">
        <v>569</v>
      </c>
      <c r="BB122" s="788"/>
      <c r="BC122" s="788"/>
      <c r="BD122" s="791"/>
      <c r="BE122" s="646"/>
      <c r="BF122" s="649"/>
      <c r="BG122" s="652"/>
    </row>
    <row r="123" spans="1:59" ht="15" hidden="1" customHeight="1">
      <c r="A123" s="635">
        <v>29</v>
      </c>
      <c r="B123" s="638" t="s">
        <v>275</v>
      </c>
      <c r="C123" s="641" t="s">
        <v>477</v>
      </c>
      <c r="D123" s="715"/>
      <c r="E123" s="653" t="s">
        <v>278</v>
      </c>
      <c r="F123" s="653" t="s">
        <v>570</v>
      </c>
      <c r="G123" s="92" t="s">
        <v>571</v>
      </c>
      <c r="H123" s="128" t="s">
        <v>67</v>
      </c>
      <c r="I123" s="128" t="s">
        <v>572</v>
      </c>
      <c r="J123" s="584" t="s">
        <v>412</v>
      </c>
      <c r="K123" s="569">
        <f>+VLOOKUP(J123,Listados!$K$8:$L$12,2,0)</f>
        <v>1</v>
      </c>
      <c r="L123" s="585" t="s">
        <v>89</v>
      </c>
      <c r="M123" s="569">
        <f>+VLOOKUP(L123,Listados!$K$13:$L$17,2,0)</f>
        <v>3</v>
      </c>
      <c r="N123" s="569" t="str">
        <f>IF(AND(J123&lt;&gt;"",L123&lt;&gt;""),VLOOKUP(J123&amp;L123,Listados!$M$3:$N$27,2,FALSE),"")</f>
        <v>Moderado</v>
      </c>
      <c r="O123" s="92" t="s">
        <v>573</v>
      </c>
      <c r="P123" s="105" t="s">
        <v>571</v>
      </c>
      <c r="Q123" s="130" t="s">
        <v>72</v>
      </c>
      <c r="R123" s="94" t="s">
        <v>73</v>
      </c>
      <c r="S123" s="93">
        <f t="shared" si="138"/>
        <v>15</v>
      </c>
      <c r="T123" s="94" t="s">
        <v>73</v>
      </c>
      <c r="U123" s="93">
        <f t="shared" si="139"/>
        <v>15</v>
      </c>
      <c r="V123" s="94" t="s">
        <v>73</v>
      </c>
      <c r="W123" s="93">
        <f t="shared" si="140"/>
        <v>15</v>
      </c>
      <c r="X123" s="94" t="s">
        <v>72</v>
      </c>
      <c r="Y123" s="93">
        <f t="shared" si="141"/>
        <v>15</v>
      </c>
      <c r="Z123" s="94" t="s">
        <v>73</v>
      </c>
      <c r="AA123" s="93">
        <f t="shared" si="142"/>
        <v>15</v>
      </c>
      <c r="AB123" s="94" t="s">
        <v>73</v>
      </c>
      <c r="AC123" s="93">
        <f t="shared" si="143"/>
        <v>15</v>
      </c>
      <c r="AD123" s="94" t="s">
        <v>74</v>
      </c>
      <c r="AE123" s="93">
        <f t="shared" si="144"/>
        <v>10</v>
      </c>
      <c r="AF123" s="96">
        <f t="shared" si="145"/>
        <v>100</v>
      </c>
      <c r="AG123" s="96" t="str">
        <f t="shared" si="146"/>
        <v>Fuerte</v>
      </c>
      <c r="AH123" s="107" t="s">
        <v>75</v>
      </c>
      <c r="AI123" s="96" t="str">
        <f t="shared" si="147"/>
        <v>Fuerte</v>
      </c>
      <c r="AJ123" s="96" t="str">
        <f>IFERROR(VLOOKUP((CONCATENATE(AG123,AI123)),Listados!$U$3:$V$11,2,FALSE),"")</f>
        <v>Fuerte</v>
      </c>
      <c r="AK123" s="96">
        <f t="shared" si="148"/>
        <v>100</v>
      </c>
      <c r="AL123" s="559">
        <f t="shared" ref="AL123" si="209">AVERAGE(AK123:AK126)</f>
        <v>100</v>
      </c>
      <c r="AM123" s="559" t="str">
        <f t="shared" ref="AM123" si="210">IF(AL123&lt;=50,"Débil",IF(AL123&lt;=99,"Moderado",IF(AL123=100,"fuerte","")))</f>
        <v>fuerte</v>
      </c>
      <c r="AN123" s="559">
        <f t="shared" ref="AN123" si="211">+IF(AND(Q123="Preventivo",AM123="Fuerte"),2,IF(AND(Q123="Preventivo",AM123="Moderado"),1,0))</f>
        <v>2</v>
      </c>
      <c r="AO123" s="559">
        <f t="shared" ref="AO123" si="212">+IF(AND(Q123="Detectivo",$AM123="Fuerte"),2,IF(AND(Q123="Detectivo",$AM123="Moderado"),1,IF(AND(Q123="Preventivo",$AM123="Fuerte"),1,0)))</f>
        <v>1</v>
      </c>
      <c r="AP123" s="566">
        <f t="shared" ref="AP123" si="213">+K123-AN123</f>
        <v>-1</v>
      </c>
      <c r="AQ123" s="566">
        <f t="shared" ref="AQ123" si="214">+M123-AO123</f>
        <v>2</v>
      </c>
      <c r="AR123" s="569" t="str">
        <f>+VLOOKUP(MIN(AP123),Listados!$J$18:$K$24,2,TRUE)</f>
        <v>Rara Vez</v>
      </c>
      <c r="AS123" s="569" t="str">
        <f>+VLOOKUP(MIN(AQ123),Listados!$J$26:$K$32,2,TRUE)</f>
        <v>Menor</v>
      </c>
      <c r="AT123" s="569" t="str">
        <f>IF(AND(AR123&lt;&gt;"",AS123&lt;&gt;""),VLOOKUP(AR123&amp;AS123,Listados!$M$3:$N$27,2,FALSE),"")</f>
        <v>Bajo</v>
      </c>
      <c r="AU123" s="569" t="str">
        <f>+VLOOKUP(AT123,Listados!$P$3:$Q$6,2,FALSE)</f>
        <v>Asumir el riesgo</v>
      </c>
      <c r="AV123" s="789" t="s">
        <v>574</v>
      </c>
      <c r="AW123" s="789" t="s">
        <v>575</v>
      </c>
      <c r="AX123" s="855">
        <v>45870</v>
      </c>
      <c r="AY123" s="857">
        <v>46022</v>
      </c>
      <c r="AZ123" s="789" t="s">
        <v>576</v>
      </c>
      <c r="BA123" s="789" t="s">
        <v>577</v>
      </c>
      <c r="BB123" s="786" t="s">
        <v>578</v>
      </c>
      <c r="BC123" s="786" t="s">
        <v>579</v>
      </c>
      <c r="BD123" s="789"/>
      <c r="BE123" s="644" t="s">
        <v>580</v>
      </c>
      <c r="BF123" s="647" t="s">
        <v>1625</v>
      </c>
      <c r="BG123" s="650"/>
    </row>
    <row r="124" spans="1:59" ht="142.5">
      <c r="A124" s="636"/>
      <c r="B124" s="639"/>
      <c r="C124" s="642"/>
      <c r="D124" s="641" t="s">
        <v>581</v>
      </c>
      <c r="E124" s="654"/>
      <c r="F124" s="654"/>
      <c r="G124" s="329" t="s">
        <v>582</v>
      </c>
      <c r="H124" s="337" t="s">
        <v>67</v>
      </c>
      <c r="I124" s="337" t="s">
        <v>572</v>
      </c>
      <c r="J124" s="572"/>
      <c r="K124" s="565"/>
      <c r="L124" s="573"/>
      <c r="M124" s="565"/>
      <c r="N124" s="565"/>
      <c r="O124" s="329" t="s">
        <v>583</v>
      </c>
      <c r="P124" s="329" t="s">
        <v>582</v>
      </c>
      <c r="Q124" s="350" t="s">
        <v>72</v>
      </c>
      <c r="R124" s="332" t="s">
        <v>73</v>
      </c>
      <c r="S124" s="333">
        <f t="shared" si="138"/>
        <v>15</v>
      </c>
      <c r="T124" s="332" t="s">
        <v>73</v>
      </c>
      <c r="U124" s="333">
        <f t="shared" si="139"/>
        <v>15</v>
      </c>
      <c r="V124" s="332" t="s">
        <v>73</v>
      </c>
      <c r="W124" s="333">
        <f t="shared" si="140"/>
        <v>15</v>
      </c>
      <c r="X124" s="332" t="s">
        <v>72</v>
      </c>
      <c r="Y124" s="333">
        <f t="shared" si="141"/>
        <v>15</v>
      </c>
      <c r="Z124" s="332" t="s">
        <v>73</v>
      </c>
      <c r="AA124" s="333">
        <f t="shared" si="142"/>
        <v>15</v>
      </c>
      <c r="AB124" s="332" t="s">
        <v>73</v>
      </c>
      <c r="AC124" s="333">
        <f t="shared" si="143"/>
        <v>15</v>
      </c>
      <c r="AD124" s="332" t="s">
        <v>74</v>
      </c>
      <c r="AE124" s="333">
        <f t="shared" si="144"/>
        <v>10</v>
      </c>
      <c r="AF124" s="334">
        <f t="shared" si="145"/>
        <v>100</v>
      </c>
      <c r="AG124" s="334" t="str">
        <f t="shared" si="146"/>
        <v>Fuerte</v>
      </c>
      <c r="AH124" s="335" t="s">
        <v>75</v>
      </c>
      <c r="AI124" s="334" t="str">
        <f t="shared" si="147"/>
        <v>Fuerte</v>
      </c>
      <c r="AJ124" s="334" t="str">
        <f>IFERROR(VLOOKUP((CONCATENATE(AG124,AI124)),Listados!$U$3:$V$11,2,FALSE),"")</f>
        <v>Fuerte</v>
      </c>
      <c r="AK124" s="334">
        <f t="shared" si="148"/>
        <v>100</v>
      </c>
      <c r="AL124" s="558"/>
      <c r="AM124" s="558"/>
      <c r="AN124" s="558"/>
      <c r="AO124" s="558"/>
      <c r="AP124" s="567"/>
      <c r="AQ124" s="567"/>
      <c r="AR124" s="565"/>
      <c r="AS124" s="565"/>
      <c r="AT124" s="565"/>
      <c r="AU124" s="565"/>
      <c r="AV124" s="790"/>
      <c r="AW124" s="790"/>
      <c r="AX124" s="861"/>
      <c r="AY124" s="863"/>
      <c r="AZ124" s="790"/>
      <c r="BA124" s="790"/>
      <c r="BB124" s="787"/>
      <c r="BC124" s="787"/>
      <c r="BD124" s="790"/>
      <c r="BE124" s="645"/>
      <c r="BF124" s="648"/>
      <c r="BG124" s="651"/>
    </row>
    <row r="125" spans="1:59" ht="157.5" customHeight="1">
      <c r="A125" s="636"/>
      <c r="B125" s="639"/>
      <c r="C125" s="642"/>
      <c r="D125" s="642"/>
      <c r="E125" s="654"/>
      <c r="F125" s="654"/>
      <c r="G125" s="329" t="s">
        <v>584</v>
      </c>
      <c r="H125" s="337" t="s">
        <v>67</v>
      </c>
      <c r="I125" s="337" t="s">
        <v>585</v>
      </c>
      <c r="J125" s="572"/>
      <c r="K125" s="565"/>
      <c r="L125" s="573"/>
      <c r="M125" s="565"/>
      <c r="N125" s="565"/>
      <c r="O125" s="329" t="s">
        <v>586</v>
      </c>
      <c r="P125" s="329" t="s">
        <v>584</v>
      </c>
      <c r="Q125" s="348" t="s">
        <v>72</v>
      </c>
      <c r="R125" s="332" t="s">
        <v>73</v>
      </c>
      <c r="S125" s="333">
        <f t="shared" si="138"/>
        <v>15</v>
      </c>
      <c r="T125" s="332" t="s">
        <v>73</v>
      </c>
      <c r="U125" s="333">
        <f t="shared" si="139"/>
        <v>15</v>
      </c>
      <c r="V125" s="332" t="s">
        <v>73</v>
      </c>
      <c r="W125" s="333">
        <f t="shared" si="140"/>
        <v>15</v>
      </c>
      <c r="X125" s="332" t="s">
        <v>72</v>
      </c>
      <c r="Y125" s="333">
        <f t="shared" si="141"/>
        <v>15</v>
      </c>
      <c r="Z125" s="332" t="s">
        <v>73</v>
      </c>
      <c r="AA125" s="333">
        <f t="shared" si="142"/>
        <v>15</v>
      </c>
      <c r="AB125" s="332" t="s">
        <v>73</v>
      </c>
      <c r="AC125" s="333">
        <f t="shared" si="143"/>
        <v>15</v>
      </c>
      <c r="AD125" s="332" t="s">
        <v>74</v>
      </c>
      <c r="AE125" s="333">
        <f t="shared" si="144"/>
        <v>10</v>
      </c>
      <c r="AF125" s="334">
        <f t="shared" si="145"/>
        <v>100</v>
      </c>
      <c r="AG125" s="334" t="str">
        <f t="shared" si="146"/>
        <v>Fuerte</v>
      </c>
      <c r="AH125" s="335" t="s">
        <v>75</v>
      </c>
      <c r="AI125" s="334" t="str">
        <f t="shared" si="147"/>
        <v>Fuerte</v>
      </c>
      <c r="AJ125" s="334" t="str">
        <f>IFERROR(VLOOKUP((CONCATENATE(AG125,AI125)),Listados!$U$3:$V$11,2,FALSE),"")</f>
        <v>Fuerte</v>
      </c>
      <c r="AK125" s="334">
        <f t="shared" si="148"/>
        <v>100</v>
      </c>
      <c r="AL125" s="558"/>
      <c r="AM125" s="558"/>
      <c r="AN125" s="558"/>
      <c r="AO125" s="558"/>
      <c r="AP125" s="567"/>
      <c r="AQ125" s="567"/>
      <c r="AR125" s="565"/>
      <c r="AS125" s="565"/>
      <c r="AT125" s="565"/>
      <c r="AU125" s="565"/>
      <c r="AV125" s="790"/>
      <c r="AW125" s="790"/>
      <c r="AX125" s="861"/>
      <c r="AY125" s="863"/>
      <c r="AZ125" s="790"/>
      <c r="BA125" s="790"/>
      <c r="BB125" s="787"/>
      <c r="BC125" s="787"/>
      <c r="BD125" s="790"/>
      <c r="BE125" s="645"/>
      <c r="BF125" s="648"/>
      <c r="BG125" s="651"/>
    </row>
    <row r="126" spans="1:59" ht="125.25" customHeight="1">
      <c r="A126" s="637"/>
      <c r="B126" s="640"/>
      <c r="C126" s="643"/>
      <c r="D126" s="642"/>
      <c r="E126" s="655"/>
      <c r="F126" s="655"/>
      <c r="G126" s="256"/>
      <c r="H126" s="257"/>
      <c r="I126" s="257"/>
      <c r="J126" s="586"/>
      <c r="K126" s="570"/>
      <c r="L126" s="587"/>
      <c r="M126" s="570"/>
      <c r="N126" s="570"/>
      <c r="O126" s="258"/>
      <c r="P126" s="259"/>
      <c r="Q126" s="269"/>
      <c r="R126" s="260"/>
      <c r="S126" s="261" t="str">
        <f t="shared" si="138"/>
        <v>0</v>
      </c>
      <c r="T126" s="260"/>
      <c r="U126" s="261" t="str">
        <f t="shared" si="139"/>
        <v>0</v>
      </c>
      <c r="V126" s="260"/>
      <c r="W126" s="261" t="str">
        <f t="shared" si="140"/>
        <v>0</v>
      </c>
      <c r="X126" s="260"/>
      <c r="Y126" s="261" t="str">
        <f t="shared" si="141"/>
        <v>0</v>
      </c>
      <c r="Z126" s="260"/>
      <c r="AA126" s="261" t="str">
        <f t="shared" si="142"/>
        <v>0</v>
      </c>
      <c r="AB126" s="260"/>
      <c r="AC126" s="261" t="str">
        <f t="shared" si="143"/>
        <v>0</v>
      </c>
      <c r="AD126" s="260"/>
      <c r="AE126" s="261" t="str">
        <f t="shared" si="144"/>
        <v>0</v>
      </c>
      <c r="AF126" s="262" t="str">
        <f t="shared" si="145"/>
        <v/>
      </c>
      <c r="AG126" s="262" t="str">
        <f t="shared" si="146"/>
        <v/>
      </c>
      <c r="AH126" s="263"/>
      <c r="AI126" s="262" t="str">
        <f t="shared" si="147"/>
        <v/>
      </c>
      <c r="AJ126" s="262" t="str">
        <f>IFERROR(VLOOKUP((CONCATENATE(AG126,AI126)),Listados!$U$3:$V$11,2,FALSE),"")</f>
        <v/>
      </c>
      <c r="AK126" s="262" t="str">
        <f t="shared" si="148"/>
        <v/>
      </c>
      <c r="AL126" s="560"/>
      <c r="AM126" s="560"/>
      <c r="AN126" s="560"/>
      <c r="AO126" s="560"/>
      <c r="AP126" s="568"/>
      <c r="AQ126" s="568"/>
      <c r="AR126" s="570"/>
      <c r="AS126" s="570"/>
      <c r="AT126" s="570"/>
      <c r="AU126" s="570"/>
      <c r="AV126" s="791"/>
      <c r="AW126" s="791"/>
      <c r="AX126" s="862"/>
      <c r="AY126" s="864"/>
      <c r="AZ126" s="791"/>
      <c r="BA126" s="791"/>
      <c r="BB126" s="788"/>
      <c r="BC126" s="788"/>
      <c r="BD126" s="791"/>
      <c r="BE126" s="646"/>
      <c r="BF126" s="649"/>
      <c r="BG126" s="652"/>
    </row>
    <row r="127" spans="1:59" ht="57">
      <c r="A127" s="716">
        <v>30</v>
      </c>
      <c r="B127" s="719" t="s">
        <v>275</v>
      </c>
      <c r="C127" s="641" t="s">
        <v>477</v>
      </c>
      <c r="D127" s="653" t="s">
        <v>587</v>
      </c>
      <c r="E127" s="653" t="s">
        <v>278</v>
      </c>
      <c r="F127" s="653" t="s">
        <v>570</v>
      </c>
      <c r="G127" s="141" t="s">
        <v>588</v>
      </c>
      <c r="H127" s="128" t="s">
        <v>67</v>
      </c>
      <c r="I127" s="128" t="s">
        <v>589</v>
      </c>
      <c r="J127" s="584" t="s">
        <v>412</v>
      </c>
      <c r="K127" s="569">
        <v>1</v>
      </c>
      <c r="L127" s="585" t="s">
        <v>70</v>
      </c>
      <c r="M127" s="569">
        <v>2</v>
      </c>
      <c r="N127" s="569" t="str">
        <f>IF(AND(J127&lt;&gt;"",L127&lt;&gt;""),VLOOKUP(J127&amp;L127,Listados!$M$3:$N$27,2,FALSE),"")</f>
        <v>Bajo</v>
      </c>
      <c r="O127" s="92" t="s">
        <v>590</v>
      </c>
      <c r="P127" s="141" t="s">
        <v>588</v>
      </c>
      <c r="Q127" s="130" t="s">
        <v>72</v>
      </c>
      <c r="R127" s="94" t="s">
        <v>73</v>
      </c>
      <c r="S127" s="93">
        <f t="shared" si="138"/>
        <v>15</v>
      </c>
      <c r="T127" s="94" t="s">
        <v>73</v>
      </c>
      <c r="U127" s="93">
        <f t="shared" si="139"/>
        <v>15</v>
      </c>
      <c r="V127" s="94" t="s">
        <v>73</v>
      </c>
      <c r="W127" s="93">
        <f t="shared" si="140"/>
        <v>15</v>
      </c>
      <c r="X127" s="94" t="s">
        <v>72</v>
      </c>
      <c r="Y127" s="93">
        <f t="shared" si="141"/>
        <v>15</v>
      </c>
      <c r="Z127" s="94" t="s">
        <v>73</v>
      </c>
      <c r="AA127" s="93">
        <f t="shared" si="142"/>
        <v>15</v>
      </c>
      <c r="AB127" s="94" t="s">
        <v>73</v>
      </c>
      <c r="AC127" s="93">
        <f t="shared" si="143"/>
        <v>15</v>
      </c>
      <c r="AD127" s="94" t="s">
        <v>74</v>
      </c>
      <c r="AE127" s="93">
        <f>+IF(AD127="Completa",10,IF(AD127="Incompleta",5,"0"))</f>
        <v>10</v>
      </c>
      <c r="AF127" s="96">
        <f t="shared" si="145"/>
        <v>100</v>
      </c>
      <c r="AG127" s="96" t="str">
        <f t="shared" si="146"/>
        <v>Fuerte</v>
      </c>
      <c r="AH127" s="107" t="s">
        <v>75</v>
      </c>
      <c r="AI127" s="96" t="str">
        <f t="shared" si="147"/>
        <v>Fuerte</v>
      </c>
      <c r="AJ127" s="96" t="str">
        <f>IFERROR(VLOOKUP((CONCATENATE(AG127,AI127)),Listados!$U$3:$V$11,2,FALSE),"")</f>
        <v>Fuerte</v>
      </c>
      <c r="AK127" s="96">
        <f t="shared" si="148"/>
        <v>100</v>
      </c>
      <c r="AL127" s="559">
        <f>AVERAGE(AK127:AK130)</f>
        <v>100</v>
      </c>
      <c r="AM127" s="559" t="str">
        <f t="shared" ref="AM127" si="215">IF(AL127&lt;=50,"Débil",IF(AL127&lt;=99,"Moderado",IF(AL127=100,"fuerte","")))</f>
        <v>fuerte</v>
      </c>
      <c r="AN127" s="559">
        <f t="shared" ref="AN127" si="216">+IF(AND(Q127="Preventivo",AM127="Fuerte"),2,IF(AND(Q127="Preventivo",AM127="Moderado"),1,0))</f>
        <v>2</v>
      </c>
      <c r="AO127" s="559">
        <f t="shared" ref="AO127" si="217">+IF(AND(Q127="Detectivo",$AM127="Fuerte"),2,IF(AND(Q127="Detectivo",$AM127="Moderado"),1,IF(AND(Q127="Preventivo",$AM127="Fuerte"),1,0)))</f>
        <v>1</v>
      </c>
      <c r="AP127" s="566">
        <f t="shared" ref="AP127" si="218">+K127-AN127</f>
        <v>-1</v>
      </c>
      <c r="AQ127" s="566">
        <f t="shared" ref="AQ127" si="219">+M127-AO127</f>
        <v>1</v>
      </c>
      <c r="AR127" s="569" t="str">
        <f>+VLOOKUP(MIN(AP127),Listados!$J$18:$K$24,2,TRUE)</f>
        <v>Rara Vez</v>
      </c>
      <c r="AS127" s="569" t="str">
        <f>+VLOOKUP(MIN(AQ127),Listados!$J$26:$K$32,2,TRUE)</f>
        <v>Insignificante</v>
      </c>
      <c r="AT127" s="569" t="str">
        <f>IF(AND(AR127&lt;&gt;"",AS127&lt;&gt;""),VLOOKUP(AR127&amp;AS127,Listados!$M$3:$N$27,2,FALSE),"")</f>
        <v>Bajo</v>
      </c>
      <c r="AU127" s="569" t="str">
        <f>+VLOOKUP(AT127,Listados!$P$3:$Q$6,2,FALSE)</f>
        <v>Asumir el riesgo</v>
      </c>
      <c r="AV127" s="789"/>
      <c r="AW127" s="789"/>
      <c r="AX127" s="855"/>
      <c r="AY127" s="857"/>
      <c r="AZ127" s="789"/>
      <c r="BA127" s="789"/>
      <c r="BB127" s="786"/>
      <c r="BC127" s="786" t="s">
        <v>591</v>
      </c>
      <c r="BD127" s="789"/>
      <c r="BE127" s="644" t="s">
        <v>592</v>
      </c>
      <c r="BF127" s="647" t="s">
        <v>1626</v>
      </c>
      <c r="BG127" s="650"/>
    </row>
    <row r="128" spans="1:59" ht="54.75" customHeight="1">
      <c r="A128" s="717"/>
      <c r="B128" s="720"/>
      <c r="C128" s="642"/>
      <c r="D128" s="654"/>
      <c r="E128" s="654"/>
      <c r="F128" s="654"/>
      <c r="G128" s="342"/>
      <c r="H128" s="337"/>
      <c r="I128" s="337"/>
      <c r="J128" s="572"/>
      <c r="K128" s="565"/>
      <c r="L128" s="573"/>
      <c r="M128" s="565"/>
      <c r="N128" s="565"/>
      <c r="O128" s="329"/>
      <c r="P128" s="330"/>
      <c r="Q128" s="350"/>
      <c r="R128" s="332"/>
      <c r="S128" s="333"/>
      <c r="T128" s="332"/>
      <c r="U128" s="333"/>
      <c r="V128" s="332"/>
      <c r="W128" s="333"/>
      <c r="X128" s="332"/>
      <c r="Y128" s="333"/>
      <c r="Z128" s="332"/>
      <c r="AA128" s="333"/>
      <c r="AB128" s="332"/>
      <c r="AC128" s="333"/>
      <c r="AD128" s="332"/>
      <c r="AE128" s="333"/>
      <c r="AF128" s="334"/>
      <c r="AG128" s="334"/>
      <c r="AH128" s="335"/>
      <c r="AI128" s="334"/>
      <c r="AJ128" s="334"/>
      <c r="AK128" s="334" t="str">
        <f t="shared" si="148"/>
        <v/>
      </c>
      <c r="AL128" s="558"/>
      <c r="AM128" s="558"/>
      <c r="AN128" s="558"/>
      <c r="AO128" s="558"/>
      <c r="AP128" s="567"/>
      <c r="AQ128" s="567"/>
      <c r="AR128" s="565"/>
      <c r="AS128" s="565"/>
      <c r="AT128" s="565"/>
      <c r="AU128" s="565"/>
      <c r="AV128" s="825"/>
      <c r="AW128" s="825"/>
      <c r="AX128" s="856"/>
      <c r="AY128" s="858"/>
      <c r="AZ128" s="825"/>
      <c r="BA128" s="825"/>
      <c r="BB128" s="787"/>
      <c r="BC128" s="787"/>
      <c r="BD128" s="790"/>
      <c r="BE128" s="645"/>
      <c r="BF128" s="648"/>
      <c r="BG128" s="651"/>
    </row>
    <row r="129" spans="1:59" ht="31.5" customHeight="1">
      <c r="A129" s="717"/>
      <c r="B129" s="720"/>
      <c r="C129" s="642"/>
      <c r="D129" s="654"/>
      <c r="E129" s="654"/>
      <c r="F129" s="654"/>
      <c r="G129" s="329"/>
      <c r="H129" s="337"/>
      <c r="I129" s="337"/>
      <c r="J129" s="572"/>
      <c r="K129" s="565"/>
      <c r="L129" s="573"/>
      <c r="M129" s="565"/>
      <c r="N129" s="565"/>
      <c r="O129" s="347"/>
      <c r="P129" s="330"/>
      <c r="Q129" s="348"/>
      <c r="R129" s="332"/>
      <c r="S129" s="333" t="str">
        <f t="shared" si="138"/>
        <v>0</v>
      </c>
      <c r="T129" s="332"/>
      <c r="U129" s="333" t="str">
        <f t="shared" si="139"/>
        <v>0</v>
      </c>
      <c r="V129" s="332"/>
      <c r="W129" s="333" t="str">
        <f t="shared" si="140"/>
        <v>0</v>
      </c>
      <c r="X129" s="332"/>
      <c r="Y129" s="333" t="str">
        <f t="shared" si="141"/>
        <v>0</v>
      </c>
      <c r="Z129" s="332"/>
      <c r="AA129" s="333" t="str">
        <f t="shared" si="142"/>
        <v>0</v>
      </c>
      <c r="AB129" s="332"/>
      <c r="AC129" s="333" t="str">
        <f t="shared" si="143"/>
        <v>0</v>
      </c>
      <c r="AD129" s="332"/>
      <c r="AE129" s="333" t="str">
        <f t="shared" si="144"/>
        <v>0</v>
      </c>
      <c r="AF129" s="334" t="str">
        <f t="shared" si="145"/>
        <v/>
      </c>
      <c r="AG129" s="334" t="str">
        <f t="shared" si="146"/>
        <v/>
      </c>
      <c r="AH129" s="335"/>
      <c r="AI129" s="334" t="str">
        <f t="shared" si="147"/>
        <v/>
      </c>
      <c r="AJ129" s="334" t="str">
        <f>IFERROR(VLOOKUP((CONCATENATE(AG129,AI129)),Listados!$U$3:$V$11,2,FALSE),"")</f>
        <v/>
      </c>
      <c r="AK129" s="334" t="str">
        <f t="shared" si="148"/>
        <v/>
      </c>
      <c r="AL129" s="558"/>
      <c r="AM129" s="558"/>
      <c r="AN129" s="558"/>
      <c r="AO129" s="558"/>
      <c r="AP129" s="567"/>
      <c r="AQ129" s="567"/>
      <c r="AR129" s="565"/>
      <c r="AS129" s="565"/>
      <c r="AT129" s="565"/>
      <c r="AU129" s="565"/>
      <c r="AV129" s="336"/>
      <c r="AW129" s="336"/>
      <c r="AX129" s="339"/>
      <c r="AY129" s="339"/>
      <c r="AZ129" s="336"/>
      <c r="BA129" s="336"/>
      <c r="BB129" s="787"/>
      <c r="BC129" s="787"/>
      <c r="BD129" s="790"/>
      <c r="BE129" s="645"/>
      <c r="BF129" s="648"/>
      <c r="BG129" s="651"/>
    </row>
    <row r="130" spans="1:59" ht="44.25" customHeight="1">
      <c r="A130" s="718"/>
      <c r="B130" s="721"/>
      <c r="C130" s="643"/>
      <c r="D130" s="655"/>
      <c r="E130" s="655"/>
      <c r="F130" s="655"/>
      <c r="G130" s="256"/>
      <c r="H130" s="257"/>
      <c r="I130" s="257"/>
      <c r="J130" s="586"/>
      <c r="K130" s="570"/>
      <c r="L130" s="587"/>
      <c r="M130" s="570"/>
      <c r="N130" s="570"/>
      <c r="O130" s="258"/>
      <c r="P130" s="265"/>
      <c r="Q130" s="269"/>
      <c r="R130" s="260"/>
      <c r="S130" s="261" t="str">
        <f t="shared" si="138"/>
        <v>0</v>
      </c>
      <c r="T130" s="260"/>
      <c r="U130" s="261" t="str">
        <f t="shared" si="139"/>
        <v>0</v>
      </c>
      <c r="V130" s="260"/>
      <c r="W130" s="261" t="str">
        <f t="shared" si="140"/>
        <v>0</v>
      </c>
      <c r="X130" s="260"/>
      <c r="Y130" s="261" t="str">
        <f t="shared" si="141"/>
        <v>0</v>
      </c>
      <c r="Z130" s="260"/>
      <c r="AA130" s="261" t="str">
        <f t="shared" si="142"/>
        <v>0</v>
      </c>
      <c r="AB130" s="260"/>
      <c r="AC130" s="261" t="str">
        <f t="shared" si="143"/>
        <v>0</v>
      </c>
      <c r="AD130" s="260"/>
      <c r="AE130" s="261" t="str">
        <f t="shared" si="144"/>
        <v>0</v>
      </c>
      <c r="AF130" s="262" t="str">
        <f t="shared" si="145"/>
        <v/>
      </c>
      <c r="AG130" s="262" t="str">
        <f t="shared" si="146"/>
        <v/>
      </c>
      <c r="AH130" s="263"/>
      <c r="AI130" s="262" t="str">
        <f t="shared" si="147"/>
        <v/>
      </c>
      <c r="AJ130" s="262" t="str">
        <f>IFERROR(VLOOKUP((CONCATENATE(AG130,AI130)),Listados!$U$3:$V$11,2,FALSE),"")</f>
        <v/>
      </c>
      <c r="AK130" s="262" t="str">
        <f t="shared" si="148"/>
        <v/>
      </c>
      <c r="AL130" s="560"/>
      <c r="AM130" s="560"/>
      <c r="AN130" s="560"/>
      <c r="AO130" s="560"/>
      <c r="AP130" s="568"/>
      <c r="AQ130" s="568"/>
      <c r="AR130" s="570"/>
      <c r="AS130" s="570"/>
      <c r="AT130" s="570"/>
      <c r="AU130" s="570"/>
      <c r="AV130" s="249"/>
      <c r="AW130" s="249"/>
      <c r="AX130" s="250"/>
      <c r="AY130" s="250"/>
      <c r="AZ130" s="249"/>
      <c r="BA130" s="249"/>
      <c r="BB130" s="788"/>
      <c r="BC130" s="788"/>
      <c r="BD130" s="791"/>
      <c r="BE130" s="646"/>
      <c r="BF130" s="649"/>
      <c r="BG130" s="652"/>
    </row>
    <row r="131" spans="1:59" ht="156.75">
      <c r="A131" s="635">
        <v>31</v>
      </c>
      <c r="B131" s="638" t="s">
        <v>593</v>
      </c>
      <c r="C131" s="641" t="s">
        <v>594</v>
      </c>
      <c r="D131" s="653" t="s">
        <v>595</v>
      </c>
      <c r="E131" s="584" t="s">
        <v>85</v>
      </c>
      <c r="F131" s="653" t="s">
        <v>65</v>
      </c>
      <c r="G131" s="92" t="s">
        <v>596</v>
      </c>
      <c r="H131" s="128" t="s">
        <v>67</v>
      </c>
      <c r="I131" s="128" t="s">
        <v>597</v>
      </c>
      <c r="J131" s="584" t="s">
        <v>88</v>
      </c>
      <c r="K131" s="569">
        <f>+VLOOKUP(J131,Listados!$K$8:$L$12,2,0)</f>
        <v>3</v>
      </c>
      <c r="L131" s="585" t="s">
        <v>326</v>
      </c>
      <c r="M131" s="569">
        <f>+VLOOKUP(L131,Listados!$K$13:$L$17,2,0)</f>
        <v>4</v>
      </c>
      <c r="N131" s="569" t="str">
        <f>IF(AND(J131&lt;&gt;"",L131&lt;&gt;""),VLOOKUP(J131&amp;L131,Listados!$M$3:$N$27,2,FALSE),"")</f>
        <v>Extremo</v>
      </c>
      <c r="O131" s="128" t="s">
        <v>598</v>
      </c>
      <c r="P131" s="177" t="s">
        <v>596</v>
      </c>
      <c r="Q131" s="130" t="s">
        <v>72</v>
      </c>
      <c r="R131" s="94" t="s">
        <v>73</v>
      </c>
      <c r="S131" s="93">
        <f t="shared" si="138"/>
        <v>15</v>
      </c>
      <c r="T131" s="94" t="s">
        <v>73</v>
      </c>
      <c r="U131" s="93">
        <f t="shared" si="139"/>
        <v>15</v>
      </c>
      <c r="V131" s="94" t="s">
        <v>73</v>
      </c>
      <c r="W131" s="93">
        <f t="shared" si="140"/>
        <v>15</v>
      </c>
      <c r="X131" s="94" t="s">
        <v>72</v>
      </c>
      <c r="Y131" s="93">
        <f t="shared" si="141"/>
        <v>15</v>
      </c>
      <c r="Z131" s="94" t="s">
        <v>73</v>
      </c>
      <c r="AA131" s="93">
        <f t="shared" si="142"/>
        <v>15</v>
      </c>
      <c r="AB131" s="94" t="s">
        <v>73</v>
      </c>
      <c r="AC131" s="93">
        <f t="shared" si="143"/>
        <v>15</v>
      </c>
      <c r="AD131" s="94" t="s">
        <v>74</v>
      </c>
      <c r="AE131" s="93">
        <f t="shared" si="144"/>
        <v>10</v>
      </c>
      <c r="AF131" s="96">
        <f t="shared" si="145"/>
        <v>100</v>
      </c>
      <c r="AG131" s="96" t="str">
        <f t="shared" si="146"/>
        <v>Fuerte</v>
      </c>
      <c r="AH131" s="107" t="s">
        <v>75</v>
      </c>
      <c r="AI131" s="96" t="str">
        <f t="shared" si="147"/>
        <v>Fuerte</v>
      </c>
      <c r="AJ131" s="96" t="str">
        <f>IFERROR(VLOOKUP((CONCATENATE(AG131,AI131)),Listados!$U$3:$V$11,2,FALSE),"")</f>
        <v>Fuerte</v>
      </c>
      <c r="AK131" s="96">
        <f t="shared" si="148"/>
        <v>100</v>
      </c>
      <c r="AL131" s="559">
        <f t="shared" ref="AL131" si="220">AVERAGE(AK131:AK134)</f>
        <v>100</v>
      </c>
      <c r="AM131" s="559" t="str">
        <f t="shared" ref="AM131" si="221">IF(AL131&lt;=50,"Débil",IF(AL131&lt;=99,"Moderado",IF(AL131=100,"fuerte","")))</f>
        <v>fuerte</v>
      </c>
      <c r="AN131" s="559">
        <f t="shared" ref="AN131" si="222">+IF(AND(Q131="Preventivo",AM131="Fuerte"),2,IF(AND(Q131="Preventivo",AM131="Moderado"),1,0))</f>
        <v>2</v>
      </c>
      <c r="AO131" s="559">
        <f t="shared" ref="AO131" si="223">+IF(AND(Q131="Detectivo",$AM131="Fuerte"),2,IF(AND(Q131="Detectivo",$AM131="Moderado"),1,IF(AND(Q131="Preventivo",$AM131="Fuerte"),1,0)))</f>
        <v>1</v>
      </c>
      <c r="AP131" s="566">
        <f t="shared" ref="AP131" si="224">+K131-AN131</f>
        <v>1</v>
      </c>
      <c r="AQ131" s="566">
        <f t="shared" ref="AQ131" si="225">+M131-AO131</f>
        <v>3</v>
      </c>
      <c r="AR131" s="569" t="str">
        <f>+VLOOKUP(MIN(AP131),Listados!$J$18:$K$24,2,TRUE)</f>
        <v>Rara Vez</v>
      </c>
      <c r="AS131" s="569" t="str">
        <f>+VLOOKUP(MIN(AQ131),Listados!$J$26:$K$32,2,TRUE)</f>
        <v>Moderado</v>
      </c>
      <c r="AT131" s="569" t="str">
        <f>IF(AND(AR131&lt;&gt;"",AS131&lt;&gt;""),VLOOKUP(AR131&amp;AS131,Listados!$M$3:$N$27,2,FALSE),"")</f>
        <v>Moderado</v>
      </c>
      <c r="AU131" s="569" t="str">
        <f>+VLOOKUP(AT131,Listados!$P$3:$Q$6,2,FALSE)</f>
        <v>Asumir el riesgo</v>
      </c>
      <c r="AV131" s="97" t="s">
        <v>599</v>
      </c>
      <c r="AW131" s="97" t="s">
        <v>354</v>
      </c>
      <c r="AX131" s="98">
        <v>45658</v>
      </c>
      <c r="AY131" s="99">
        <v>46022</v>
      </c>
      <c r="AZ131" s="97" t="s">
        <v>600</v>
      </c>
      <c r="BA131" s="97" t="s">
        <v>601</v>
      </c>
      <c r="BB131" s="786" t="s">
        <v>602</v>
      </c>
      <c r="BC131" s="786" t="s">
        <v>602</v>
      </c>
      <c r="BD131" s="789"/>
      <c r="BE131" s="644" t="s">
        <v>603</v>
      </c>
      <c r="BF131" s="647" t="s">
        <v>1627</v>
      </c>
      <c r="BG131" s="650"/>
    </row>
    <row r="132" spans="1:59">
      <c r="A132" s="636"/>
      <c r="B132" s="639"/>
      <c r="C132" s="642"/>
      <c r="D132" s="654"/>
      <c r="E132" s="572"/>
      <c r="F132" s="654"/>
      <c r="G132" s="329"/>
      <c r="H132" s="337"/>
      <c r="I132" s="337"/>
      <c r="J132" s="572"/>
      <c r="K132" s="565"/>
      <c r="L132" s="573"/>
      <c r="M132" s="565"/>
      <c r="N132" s="565"/>
      <c r="O132" s="354"/>
      <c r="P132" s="330"/>
      <c r="Q132" s="350"/>
      <c r="R132" s="332"/>
      <c r="S132" s="333" t="str">
        <f t="shared" si="138"/>
        <v>0</v>
      </c>
      <c r="T132" s="332"/>
      <c r="U132" s="333" t="str">
        <f t="shared" si="139"/>
        <v>0</v>
      </c>
      <c r="V132" s="332"/>
      <c r="W132" s="333" t="str">
        <f t="shared" si="140"/>
        <v>0</v>
      </c>
      <c r="X132" s="332"/>
      <c r="Y132" s="333" t="str">
        <f t="shared" si="141"/>
        <v>0</v>
      </c>
      <c r="Z132" s="332"/>
      <c r="AA132" s="333" t="str">
        <f t="shared" si="142"/>
        <v>0</v>
      </c>
      <c r="AB132" s="332"/>
      <c r="AC132" s="333" t="str">
        <f t="shared" si="143"/>
        <v>0</v>
      </c>
      <c r="AD132" s="332"/>
      <c r="AE132" s="333" t="str">
        <f t="shared" si="144"/>
        <v>0</v>
      </c>
      <c r="AF132" s="334" t="str">
        <f t="shared" si="145"/>
        <v/>
      </c>
      <c r="AG132" s="334" t="str">
        <f t="shared" si="146"/>
        <v/>
      </c>
      <c r="AH132" s="335"/>
      <c r="AI132" s="334" t="str">
        <f t="shared" si="147"/>
        <v/>
      </c>
      <c r="AJ132" s="334" t="str">
        <f>IFERROR(VLOOKUP((CONCATENATE(AG132,AI132)),Listados!$U$3:$V$11,2,FALSE),"")</f>
        <v/>
      </c>
      <c r="AK132" s="334" t="str">
        <f t="shared" si="148"/>
        <v/>
      </c>
      <c r="AL132" s="558"/>
      <c r="AM132" s="558"/>
      <c r="AN132" s="558"/>
      <c r="AO132" s="558"/>
      <c r="AP132" s="567"/>
      <c r="AQ132" s="567"/>
      <c r="AR132" s="565"/>
      <c r="AS132" s="565"/>
      <c r="AT132" s="565"/>
      <c r="AU132" s="565"/>
      <c r="AV132" s="336"/>
      <c r="AW132" s="336"/>
      <c r="AX132" s="336"/>
      <c r="AY132" s="336"/>
      <c r="AZ132" s="336"/>
      <c r="BA132" s="336"/>
      <c r="BB132" s="787"/>
      <c r="BC132" s="787"/>
      <c r="BD132" s="790"/>
      <c r="BE132" s="645"/>
      <c r="BF132" s="648"/>
      <c r="BG132" s="651"/>
    </row>
    <row r="133" spans="1:59">
      <c r="A133" s="636"/>
      <c r="B133" s="639"/>
      <c r="C133" s="642"/>
      <c r="D133" s="654"/>
      <c r="E133" s="572"/>
      <c r="F133" s="654"/>
      <c r="G133" s="329"/>
      <c r="H133" s="337"/>
      <c r="I133" s="337"/>
      <c r="J133" s="572"/>
      <c r="K133" s="565"/>
      <c r="L133" s="573"/>
      <c r="M133" s="565"/>
      <c r="N133" s="565"/>
      <c r="O133" s="347"/>
      <c r="P133" s="330"/>
      <c r="Q133" s="348"/>
      <c r="R133" s="332"/>
      <c r="S133" s="333" t="str">
        <f t="shared" si="138"/>
        <v>0</v>
      </c>
      <c r="T133" s="332"/>
      <c r="U133" s="333" t="str">
        <f t="shared" si="139"/>
        <v>0</v>
      </c>
      <c r="V133" s="332"/>
      <c r="W133" s="333" t="str">
        <f t="shared" si="140"/>
        <v>0</v>
      </c>
      <c r="X133" s="332"/>
      <c r="Y133" s="333" t="str">
        <f t="shared" si="141"/>
        <v>0</v>
      </c>
      <c r="Z133" s="332"/>
      <c r="AA133" s="333" t="str">
        <f t="shared" si="142"/>
        <v>0</v>
      </c>
      <c r="AB133" s="332"/>
      <c r="AC133" s="333" t="str">
        <f t="shared" si="143"/>
        <v>0</v>
      </c>
      <c r="AD133" s="332"/>
      <c r="AE133" s="333" t="str">
        <f t="shared" si="144"/>
        <v>0</v>
      </c>
      <c r="AF133" s="334" t="str">
        <f t="shared" si="145"/>
        <v/>
      </c>
      <c r="AG133" s="334" t="str">
        <f t="shared" si="146"/>
        <v/>
      </c>
      <c r="AH133" s="335"/>
      <c r="AI133" s="334" t="str">
        <f t="shared" si="147"/>
        <v/>
      </c>
      <c r="AJ133" s="334" t="str">
        <f>IFERROR(VLOOKUP((CONCATENATE(AG133,AI133)),Listados!$U$3:$V$11,2,FALSE),"")</f>
        <v/>
      </c>
      <c r="AK133" s="334" t="str">
        <f t="shared" si="148"/>
        <v/>
      </c>
      <c r="AL133" s="558"/>
      <c r="AM133" s="558"/>
      <c r="AN133" s="558"/>
      <c r="AO133" s="558"/>
      <c r="AP133" s="567"/>
      <c r="AQ133" s="567"/>
      <c r="AR133" s="565"/>
      <c r="AS133" s="565"/>
      <c r="AT133" s="565"/>
      <c r="AU133" s="565"/>
      <c r="AV133" s="336"/>
      <c r="AW133" s="336"/>
      <c r="AX133" s="339"/>
      <c r="AY133" s="339"/>
      <c r="AZ133" s="336"/>
      <c r="BA133" s="336"/>
      <c r="BB133" s="787"/>
      <c r="BC133" s="787"/>
      <c r="BD133" s="790"/>
      <c r="BE133" s="645"/>
      <c r="BF133" s="648"/>
      <c r="BG133" s="651"/>
    </row>
    <row r="134" spans="1:59">
      <c r="A134" s="637"/>
      <c r="B134" s="640"/>
      <c r="C134" s="643"/>
      <c r="D134" s="655"/>
      <c r="E134" s="586"/>
      <c r="F134" s="655"/>
      <c r="G134" s="256"/>
      <c r="H134" s="257"/>
      <c r="I134" s="257"/>
      <c r="J134" s="586"/>
      <c r="K134" s="570"/>
      <c r="L134" s="587"/>
      <c r="M134" s="570"/>
      <c r="N134" s="570"/>
      <c r="O134" s="258"/>
      <c r="P134" s="259"/>
      <c r="Q134" s="269"/>
      <c r="R134" s="260"/>
      <c r="S134" s="261" t="str">
        <f t="shared" si="138"/>
        <v>0</v>
      </c>
      <c r="T134" s="260"/>
      <c r="U134" s="261" t="str">
        <f t="shared" si="139"/>
        <v>0</v>
      </c>
      <c r="V134" s="260"/>
      <c r="W134" s="261" t="str">
        <f t="shared" si="140"/>
        <v>0</v>
      </c>
      <c r="X134" s="260"/>
      <c r="Y134" s="261" t="str">
        <f t="shared" si="141"/>
        <v>0</v>
      </c>
      <c r="Z134" s="260"/>
      <c r="AA134" s="261" t="str">
        <f t="shared" si="142"/>
        <v>0</v>
      </c>
      <c r="AB134" s="260"/>
      <c r="AC134" s="261" t="str">
        <f t="shared" si="143"/>
        <v>0</v>
      </c>
      <c r="AD134" s="260"/>
      <c r="AE134" s="261" t="str">
        <f t="shared" si="144"/>
        <v>0</v>
      </c>
      <c r="AF134" s="262" t="str">
        <f t="shared" si="145"/>
        <v/>
      </c>
      <c r="AG134" s="262" t="str">
        <f t="shared" si="146"/>
        <v/>
      </c>
      <c r="AH134" s="263"/>
      <c r="AI134" s="262" t="str">
        <f t="shared" si="147"/>
        <v/>
      </c>
      <c r="AJ134" s="262" t="str">
        <f>IFERROR(VLOOKUP((CONCATENATE(AG134,AI134)),Listados!$U$3:$V$11,2,FALSE),"")</f>
        <v/>
      </c>
      <c r="AK134" s="262" t="str">
        <f t="shared" si="148"/>
        <v/>
      </c>
      <c r="AL134" s="560"/>
      <c r="AM134" s="560"/>
      <c r="AN134" s="560"/>
      <c r="AO134" s="560"/>
      <c r="AP134" s="568"/>
      <c r="AQ134" s="568"/>
      <c r="AR134" s="570"/>
      <c r="AS134" s="570"/>
      <c r="AT134" s="570"/>
      <c r="AU134" s="570"/>
      <c r="AV134" s="249"/>
      <c r="AW134" s="249"/>
      <c r="AX134" s="250"/>
      <c r="AY134" s="250"/>
      <c r="AZ134" s="249"/>
      <c r="BA134" s="249"/>
      <c r="BB134" s="788"/>
      <c r="BC134" s="788"/>
      <c r="BD134" s="791"/>
      <c r="BE134" s="646"/>
      <c r="BF134" s="649"/>
      <c r="BG134" s="652"/>
    </row>
    <row r="135" spans="1:59" ht="114.75" customHeight="1">
      <c r="A135" s="635">
        <v>32</v>
      </c>
      <c r="B135" s="638" t="s">
        <v>593</v>
      </c>
      <c r="C135" s="641" t="s">
        <v>594</v>
      </c>
      <c r="D135" s="653" t="s">
        <v>604</v>
      </c>
      <c r="E135" s="584" t="s">
        <v>64</v>
      </c>
      <c r="F135" s="653" t="s">
        <v>65</v>
      </c>
      <c r="G135" s="92" t="s">
        <v>605</v>
      </c>
      <c r="H135" s="128" t="s">
        <v>67</v>
      </c>
      <c r="I135" s="128" t="s">
        <v>606</v>
      </c>
      <c r="J135" s="584" t="s">
        <v>412</v>
      </c>
      <c r="K135" s="569">
        <f>+VLOOKUP(J135,Listados!$K$8:$L$12,2,0)</f>
        <v>1</v>
      </c>
      <c r="L135" s="585" t="s">
        <v>326</v>
      </c>
      <c r="M135" s="569">
        <f>+VLOOKUP(L135,Listados!$K$13:$L$17,2,0)</f>
        <v>4</v>
      </c>
      <c r="N135" s="569" t="str">
        <f>IF(AND(J135&lt;&gt;"",L135&lt;&gt;""),VLOOKUP(J135&amp;L135,Listados!$M$3:$N$27,2,FALSE),"")</f>
        <v>Alto</v>
      </c>
      <c r="O135" s="217" t="s">
        <v>607</v>
      </c>
      <c r="P135" s="105" t="s">
        <v>605</v>
      </c>
      <c r="Q135" s="130" t="s">
        <v>83</v>
      </c>
      <c r="R135" s="94" t="s">
        <v>73</v>
      </c>
      <c r="S135" s="93">
        <f t="shared" si="138"/>
        <v>15</v>
      </c>
      <c r="T135" s="94" t="s">
        <v>73</v>
      </c>
      <c r="U135" s="93">
        <f t="shared" si="139"/>
        <v>15</v>
      </c>
      <c r="V135" s="94" t="s">
        <v>73</v>
      </c>
      <c r="W135" s="93">
        <f t="shared" si="140"/>
        <v>15</v>
      </c>
      <c r="X135" s="94" t="s">
        <v>83</v>
      </c>
      <c r="Y135" s="93">
        <f t="shared" si="141"/>
        <v>10</v>
      </c>
      <c r="Z135" s="94" t="s">
        <v>73</v>
      </c>
      <c r="AA135" s="93">
        <f t="shared" si="142"/>
        <v>15</v>
      </c>
      <c r="AB135" s="94" t="s">
        <v>73</v>
      </c>
      <c r="AC135" s="93">
        <f t="shared" si="143"/>
        <v>15</v>
      </c>
      <c r="AD135" s="94" t="s">
        <v>74</v>
      </c>
      <c r="AE135" s="93">
        <f t="shared" si="144"/>
        <v>10</v>
      </c>
      <c r="AF135" s="96">
        <f t="shared" si="145"/>
        <v>95</v>
      </c>
      <c r="AG135" s="96" t="str">
        <f t="shared" si="146"/>
        <v>Moderado</v>
      </c>
      <c r="AH135" s="107" t="s">
        <v>75</v>
      </c>
      <c r="AI135" s="96" t="str">
        <f t="shared" si="147"/>
        <v>Fuerte</v>
      </c>
      <c r="AJ135" s="96" t="str">
        <f>IFERROR(VLOOKUP((CONCATENATE(AG135,AI135)),Listados!$U$3:$V$11,2,FALSE),"")</f>
        <v>Moderado</v>
      </c>
      <c r="AK135" s="96">
        <f t="shared" si="148"/>
        <v>50</v>
      </c>
      <c r="AL135" s="559">
        <f t="shared" ref="AL135" si="226">AVERAGE(AK135:AK138)</f>
        <v>50</v>
      </c>
      <c r="AM135" s="559" t="str">
        <f t="shared" ref="AM135" si="227">IF(AL135&lt;=50,"Débil",IF(AL135&lt;=99,"Moderado",IF(AL135=100,"fuerte","")))</f>
        <v>Débil</v>
      </c>
      <c r="AN135" s="559">
        <f t="shared" ref="AN135" si="228">+IF(AND(Q135="Preventivo",AM135="Fuerte"),2,IF(AND(Q135="Preventivo",AM135="Moderado"),1,0))</f>
        <v>0</v>
      </c>
      <c r="AO135" s="559">
        <f t="shared" ref="AO135" si="229">+IF(AND(Q135="Detectivo",$AM135="Fuerte"),2,IF(AND(Q135="Detectivo",$AM135="Moderado"),1,IF(AND(Q135="Preventivo",$AM135="Fuerte"),1,0)))</f>
        <v>0</v>
      </c>
      <c r="AP135" s="566">
        <f t="shared" ref="AP135" si="230">+K135-AN135</f>
        <v>1</v>
      </c>
      <c r="AQ135" s="566">
        <f t="shared" ref="AQ135" si="231">+M135-AO135</f>
        <v>4</v>
      </c>
      <c r="AR135" s="569" t="str">
        <f>+VLOOKUP(MIN(AP135),Listados!$J$18:$K$24,2,TRUE)</f>
        <v>Rara Vez</v>
      </c>
      <c r="AS135" s="569" t="str">
        <f>+VLOOKUP(MIN(AQ135),Listados!$J$26:$K$32,2,TRUE)</f>
        <v>Mayor</v>
      </c>
      <c r="AT135" s="569" t="str">
        <f>IF(AND(AR135&lt;&gt;"",AS135&lt;&gt;""),VLOOKUP(AR135&amp;AS135,Listados!$M$3:$N$27,2,FALSE),"")</f>
        <v>Alto</v>
      </c>
      <c r="AU135" s="569" t="str">
        <f>+VLOOKUP(AT135,Listados!$P$3:$Q$6,2,FALSE)</f>
        <v>Reducir el riesgo</v>
      </c>
      <c r="AV135" s="97" t="s">
        <v>608</v>
      </c>
      <c r="AW135" s="97" t="s">
        <v>609</v>
      </c>
      <c r="AX135" s="98">
        <v>45658</v>
      </c>
      <c r="AY135" s="99">
        <v>46022</v>
      </c>
      <c r="AZ135" s="97" t="s">
        <v>610</v>
      </c>
      <c r="BA135" s="97" t="s">
        <v>611</v>
      </c>
      <c r="BB135" s="786" t="s">
        <v>612</v>
      </c>
      <c r="BC135" s="786" t="s">
        <v>613</v>
      </c>
      <c r="BD135" s="789"/>
      <c r="BE135" s="644" t="s">
        <v>614</v>
      </c>
      <c r="BF135" s="647" t="s">
        <v>1628</v>
      </c>
      <c r="BG135" s="650"/>
    </row>
    <row r="136" spans="1:59">
      <c r="A136" s="636"/>
      <c r="B136" s="639"/>
      <c r="C136" s="642"/>
      <c r="D136" s="654"/>
      <c r="E136" s="572"/>
      <c r="F136" s="654"/>
      <c r="G136" s="329"/>
      <c r="H136" s="337"/>
      <c r="I136" s="337"/>
      <c r="J136" s="572"/>
      <c r="K136" s="565"/>
      <c r="L136" s="573"/>
      <c r="M136" s="565"/>
      <c r="N136" s="565"/>
      <c r="O136" s="354"/>
      <c r="P136" s="330"/>
      <c r="Q136" s="350"/>
      <c r="R136" s="332"/>
      <c r="S136" s="333" t="str">
        <f t="shared" si="138"/>
        <v>0</v>
      </c>
      <c r="T136" s="332"/>
      <c r="U136" s="333" t="str">
        <f t="shared" si="139"/>
        <v>0</v>
      </c>
      <c r="V136" s="332"/>
      <c r="W136" s="333" t="str">
        <f t="shared" si="140"/>
        <v>0</v>
      </c>
      <c r="X136" s="332"/>
      <c r="Y136" s="333" t="str">
        <f t="shared" si="141"/>
        <v>0</v>
      </c>
      <c r="Z136" s="332"/>
      <c r="AA136" s="333" t="str">
        <f t="shared" si="142"/>
        <v>0</v>
      </c>
      <c r="AB136" s="332"/>
      <c r="AC136" s="333" t="str">
        <f t="shared" si="143"/>
        <v>0</v>
      </c>
      <c r="AD136" s="332"/>
      <c r="AE136" s="333" t="str">
        <f t="shared" si="144"/>
        <v>0</v>
      </c>
      <c r="AF136" s="334" t="str">
        <f t="shared" si="145"/>
        <v/>
      </c>
      <c r="AG136" s="334" t="str">
        <f t="shared" si="146"/>
        <v/>
      </c>
      <c r="AH136" s="335"/>
      <c r="AI136" s="334" t="str">
        <f t="shared" si="147"/>
        <v/>
      </c>
      <c r="AJ136" s="334" t="str">
        <f>IFERROR(VLOOKUP((CONCATENATE(AG136,AI136)),Listados!$U$3:$V$11,2,FALSE),"")</f>
        <v/>
      </c>
      <c r="AK136" s="334" t="str">
        <f t="shared" si="148"/>
        <v/>
      </c>
      <c r="AL136" s="558"/>
      <c r="AM136" s="558"/>
      <c r="AN136" s="558"/>
      <c r="AO136" s="558"/>
      <c r="AP136" s="567"/>
      <c r="AQ136" s="567"/>
      <c r="AR136" s="565"/>
      <c r="AS136" s="565"/>
      <c r="AT136" s="565"/>
      <c r="AU136" s="565"/>
      <c r="AV136" s="336"/>
      <c r="AW136" s="336"/>
      <c r="AX136" s="336"/>
      <c r="AY136" s="336"/>
      <c r="AZ136" s="336"/>
      <c r="BA136" s="336"/>
      <c r="BB136" s="787"/>
      <c r="BC136" s="787"/>
      <c r="BD136" s="790"/>
      <c r="BE136" s="645"/>
      <c r="BF136" s="648"/>
      <c r="BG136" s="651"/>
    </row>
    <row r="137" spans="1:59">
      <c r="A137" s="636"/>
      <c r="B137" s="639"/>
      <c r="C137" s="642"/>
      <c r="D137" s="654"/>
      <c r="E137" s="572"/>
      <c r="F137" s="654"/>
      <c r="G137" s="329"/>
      <c r="H137" s="337"/>
      <c r="I137" s="337"/>
      <c r="J137" s="572"/>
      <c r="K137" s="565"/>
      <c r="L137" s="573"/>
      <c r="M137" s="565"/>
      <c r="N137" s="565"/>
      <c r="O137" s="347"/>
      <c r="P137" s="338"/>
      <c r="Q137" s="348"/>
      <c r="R137" s="332"/>
      <c r="S137" s="333" t="str">
        <f t="shared" si="138"/>
        <v>0</v>
      </c>
      <c r="T137" s="332"/>
      <c r="U137" s="333" t="str">
        <f t="shared" si="139"/>
        <v>0</v>
      </c>
      <c r="V137" s="332"/>
      <c r="W137" s="333" t="str">
        <f t="shared" si="140"/>
        <v>0</v>
      </c>
      <c r="X137" s="332"/>
      <c r="Y137" s="333" t="str">
        <f t="shared" si="141"/>
        <v>0</v>
      </c>
      <c r="Z137" s="332"/>
      <c r="AA137" s="333" t="str">
        <f t="shared" si="142"/>
        <v>0</v>
      </c>
      <c r="AB137" s="332"/>
      <c r="AC137" s="333" t="str">
        <f t="shared" si="143"/>
        <v>0</v>
      </c>
      <c r="AD137" s="332"/>
      <c r="AE137" s="333" t="str">
        <f t="shared" si="144"/>
        <v>0</v>
      </c>
      <c r="AF137" s="334" t="str">
        <f t="shared" si="145"/>
        <v/>
      </c>
      <c r="AG137" s="334" t="str">
        <f t="shared" si="146"/>
        <v/>
      </c>
      <c r="AH137" s="335"/>
      <c r="AI137" s="334" t="str">
        <f t="shared" si="147"/>
        <v/>
      </c>
      <c r="AJ137" s="334" t="str">
        <f>IFERROR(VLOOKUP((CONCATENATE(AG137,AI137)),Listados!$U$3:$V$11,2,FALSE),"")</f>
        <v/>
      </c>
      <c r="AK137" s="334" t="str">
        <f t="shared" si="148"/>
        <v/>
      </c>
      <c r="AL137" s="558"/>
      <c r="AM137" s="558"/>
      <c r="AN137" s="558"/>
      <c r="AO137" s="558"/>
      <c r="AP137" s="567"/>
      <c r="AQ137" s="567"/>
      <c r="AR137" s="565"/>
      <c r="AS137" s="565"/>
      <c r="AT137" s="565"/>
      <c r="AU137" s="565"/>
      <c r="AV137" s="336"/>
      <c r="AW137" s="336"/>
      <c r="AX137" s="339"/>
      <c r="AY137" s="339"/>
      <c r="AZ137" s="336"/>
      <c r="BA137" s="336"/>
      <c r="BB137" s="787"/>
      <c r="BC137" s="787"/>
      <c r="BD137" s="790"/>
      <c r="BE137" s="645"/>
      <c r="BF137" s="648"/>
      <c r="BG137" s="651"/>
    </row>
    <row r="138" spans="1:59">
      <c r="A138" s="697"/>
      <c r="B138" s="695"/>
      <c r="C138" s="722"/>
      <c r="D138" s="591"/>
      <c r="E138" s="548"/>
      <c r="F138" s="591"/>
      <c r="G138" s="221"/>
      <c r="H138" s="228"/>
      <c r="I138" s="228"/>
      <c r="J138" s="548"/>
      <c r="K138" s="556"/>
      <c r="L138" s="554"/>
      <c r="M138" s="556"/>
      <c r="N138" s="556"/>
      <c r="O138" s="229"/>
      <c r="P138" s="233"/>
      <c r="Q138" s="230"/>
      <c r="R138" s="223"/>
      <c r="S138" s="224" t="str">
        <f t="shared" si="138"/>
        <v>0</v>
      </c>
      <c r="T138" s="223"/>
      <c r="U138" s="224" t="str">
        <f t="shared" si="139"/>
        <v>0</v>
      </c>
      <c r="V138" s="223"/>
      <c r="W138" s="224" t="str">
        <f t="shared" si="140"/>
        <v>0</v>
      </c>
      <c r="X138" s="223"/>
      <c r="Y138" s="224" t="str">
        <f t="shared" si="141"/>
        <v>0</v>
      </c>
      <c r="Z138" s="223"/>
      <c r="AA138" s="224" t="str">
        <f t="shared" si="142"/>
        <v>0</v>
      </c>
      <c r="AB138" s="223"/>
      <c r="AC138" s="224" t="str">
        <f t="shared" si="143"/>
        <v>0</v>
      </c>
      <c r="AD138" s="223"/>
      <c r="AE138" s="224" t="str">
        <f t="shared" si="144"/>
        <v>0</v>
      </c>
      <c r="AF138" s="225" t="str">
        <f t="shared" si="145"/>
        <v/>
      </c>
      <c r="AG138" s="225" t="str">
        <f t="shared" si="146"/>
        <v/>
      </c>
      <c r="AH138" s="226"/>
      <c r="AI138" s="225" t="str">
        <f t="shared" si="147"/>
        <v/>
      </c>
      <c r="AJ138" s="225" t="str">
        <f>IFERROR(VLOOKUP((CONCATENATE(AG138,AI138)),Listados!$U$3:$V$11,2,FALSE),"")</f>
        <v/>
      </c>
      <c r="AK138" s="225" t="str">
        <f t="shared" si="148"/>
        <v/>
      </c>
      <c r="AL138" s="563"/>
      <c r="AM138" s="563"/>
      <c r="AN138" s="563"/>
      <c r="AO138" s="563"/>
      <c r="AP138" s="567"/>
      <c r="AQ138" s="567"/>
      <c r="AR138" s="556"/>
      <c r="AS138" s="556"/>
      <c r="AT138" s="556"/>
      <c r="AU138" s="556"/>
      <c r="AV138" s="231"/>
      <c r="AW138" s="231"/>
      <c r="AX138" s="232"/>
      <c r="AY138" s="232"/>
      <c r="AZ138" s="231"/>
      <c r="BA138" s="231"/>
      <c r="BB138" s="787"/>
      <c r="BC138" s="787"/>
      <c r="BD138" s="790"/>
      <c r="BE138" s="645"/>
      <c r="BF138" s="648"/>
      <c r="BG138" s="651"/>
    </row>
    <row r="139" spans="1:59" ht="114">
      <c r="A139" s="635">
        <v>33</v>
      </c>
      <c r="B139" s="638" t="s">
        <v>593</v>
      </c>
      <c r="C139" s="641" t="s">
        <v>594</v>
      </c>
      <c r="D139" s="653" t="s">
        <v>615</v>
      </c>
      <c r="E139" s="584" t="s">
        <v>85</v>
      </c>
      <c r="F139" s="653" t="s">
        <v>65</v>
      </c>
      <c r="G139" s="92" t="s">
        <v>616</v>
      </c>
      <c r="H139" s="128" t="s">
        <v>67</v>
      </c>
      <c r="I139" s="128" t="s">
        <v>617</v>
      </c>
      <c r="J139" s="584" t="s">
        <v>412</v>
      </c>
      <c r="K139" s="569">
        <f>+VLOOKUP(J139,Listados!$K$8:$L$12,2,0)</f>
        <v>1</v>
      </c>
      <c r="L139" s="585" t="s">
        <v>70</v>
      </c>
      <c r="M139" s="569">
        <f>+VLOOKUP(L139,Listados!$K$13:$L$17,2,0)</f>
        <v>2</v>
      </c>
      <c r="N139" s="569" t="str">
        <f>IF(AND(J139&lt;&gt;"",L139&lt;&gt;""),VLOOKUP(J139&amp;L139,Listados!$M$3:$N$27,2,FALSE),"")</f>
        <v>Bajo</v>
      </c>
      <c r="O139" s="128" t="s">
        <v>618</v>
      </c>
      <c r="P139" s="105" t="s">
        <v>616</v>
      </c>
      <c r="Q139" s="130" t="s">
        <v>72</v>
      </c>
      <c r="R139" s="94" t="s">
        <v>73</v>
      </c>
      <c r="S139" s="93">
        <f t="shared" si="138"/>
        <v>15</v>
      </c>
      <c r="T139" s="94" t="s">
        <v>73</v>
      </c>
      <c r="U139" s="93">
        <f t="shared" si="139"/>
        <v>15</v>
      </c>
      <c r="V139" s="94" t="s">
        <v>73</v>
      </c>
      <c r="W139" s="93">
        <f t="shared" si="140"/>
        <v>15</v>
      </c>
      <c r="X139" s="94" t="s">
        <v>72</v>
      </c>
      <c r="Y139" s="93">
        <f t="shared" si="141"/>
        <v>15</v>
      </c>
      <c r="Z139" s="94" t="s">
        <v>73</v>
      </c>
      <c r="AA139" s="93">
        <f t="shared" si="142"/>
        <v>15</v>
      </c>
      <c r="AB139" s="94" t="s">
        <v>73</v>
      </c>
      <c r="AC139" s="93">
        <f t="shared" si="143"/>
        <v>15</v>
      </c>
      <c r="AD139" s="94" t="s">
        <v>74</v>
      </c>
      <c r="AE139" s="93">
        <f t="shared" si="144"/>
        <v>10</v>
      </c>
      <c r="AF139" s="96">
        <f t="shared" si="145"/>
        <v>100</v>
      </c>
      <c r="AG139" s="96" t="str">
        <f t="shared" si="146"/>
        <v>Fuerte</v>
      </c>
      <c r="AH139" s="107" t="s">
        <v>75</v>
      </c>
      <c r="AI139" s="96" t="str">
        <f t="shared" si="147"/>
        <v>Fuerte</v>
      </c>
      <c r="AJ139" s="96" t="str">
        <f>IFERROR(VLOOKUP((CONCATENATE(AG139,AI139)),Listados!$U$3:$V$11,2,FALSE),"")</f>
        <v>Fuerte</v>
      </c>
      <c r="AK139" s="96">
        <f t="shared" si="148"/>
        <v>100</v>
      </c>
      <c r="AL139" s="559">
        <f t="shared" ref="AL139" si="232">AVERAGE(AK139:AK142)</f>
        <v>100</v>
      </c>
      <c r="AM139" s="559" t="str">
        <f t="shared" ref="AM139" si="233">IF(AL139&lt;=50,"Débil",IF(AL139&lt;=99,"Moderado",IF(AL139=100,"fuerte","")))</f>
        <v>fuerte</v>
      </c>
      <c r="AN139" s="559">
        <f t="shared" ref="AN139" si="234">+IF(AND(Q139="Preventivo",AM139="Fuerte"),2,IF(AND(Q139="Preventivo",AM139="Moderado"),1,0))</f>
        <v>2</v>
      </c>
      <c r="AO139" s="559">
        <f t="shared" ref="AO139" si="235">+IF(AND(Q139="Detectivo",$AM139="Fuerte"),2,IF(AND(Q139="Detectivo",$AM139="Moderado"),1,IF(AND(Q139="Preventivo",$AM139="Fuerte"),1,0)))</f>
        <v>1</v>
      </c>
      <c r="AP139" s="559">
        <f t="shared" ref="AP139" si="236">+K139-AN139</f>
        <v>-1</v>
      </c>
      <c r="AQ139" s="559">
        <f t="shared" ref="AQ139" si="237">+M139-AO139</f>
        <v>1</v>
      </c>
      <c r="AR139" s="569" t="str">
        <f>+VLOOKUP(MIN(AP139),Listados!$J$18:$K$24,2,TRUE)</f>
        <v>Rara Vez</v>
      </c>
      <c r="AS139" s="569" t="str">
        <f>+VLOOKUP(MIN(AQ139),Listados!$J$26:$K$32,2,TRUE)</f>
        <v>Insignificante</v>
      </c>
      <c r="AT139" s="569" t="str">
        <f>IF(AND(AR139&lt;&gt;"",AS139&lt;&gt;""),VLOOKUP(AR139&amp;AS139,Listados!$M$3:$N$27,2,FALSE),"")</f>
        <v>Bajo</v>
      </c>
      <c r="AU139" s="569" t="str">
        <f>+VLOOKUP(AT139,Listados!$P$3:$Q$6,2,FALSE)</f>
        <v>Asumir el riesgo</v>
      </c>
      <c r="AV139" s="97" t="s">
        <v>619</v>
      </c>
      <c r="AW139" s="97" t="s">
        <v>609</v>
      </c>
      <c r="AX139" s="98">
        <v>45658</v>
      </c>
      <c r="AY139" s="98">
        <v>46022</v>
      </c>
      <c r="AZ139" s="97" t="s">
        <v>600</v>
      </c>
      <c r="BA139" s="97" t="s">
        <v>611</v>
      </c>
      <c r="BB139" s="97" t="s">
        <v>620</v>
      </c>
      <c r="BC139" s="826" t="s">
        <v>620</v>
      </c>
      <c r="BD139" s="792"/>
      <c r="BE139" s="754" t="s">
        <v>621</v>
      </c>
      <c r="BF139" s="757" t="s">
        <v>1628</v>
      </c>
      <c r="BG139" s="760"/>
    </row>
    <row r="140" spans="1:59" ht="31.5" customHeight="1">
      <c r="A140" s="636"/>
      <c r="B140" s="639"/>
      <c r="C140" s="642"/>
      <c r="D140" s="654"/>
      <c r="E140" s="572"/>
      <c r="F140" s="654"/>
      <c r="G140" s="329"/>
      <c r="H140" s="337"/>
      <c r="I140" s="337"/>
      <c r="J140" s="572"/>
      <c r="K140" s="565"/>
      <c r="L140" s="573"/>
      <c r="M140" s="565"/>
      <c r="N140" s="565"/>
      <c r="O140" s="354"/>
      <c r="P140" s="330"/>
      <c r="Q140" s="350"/>
      <c r="R140" s="332"/>
      <c r="S140" s="333" t="str">
        <f t="shared" ref="S140:S192" si="238">+IF(R140="si",15,"0")</f>
        <v>0</v>
      </c>
      <c r="T140" s="332"/>
      <c r="U140" s="333" t="str">
        <f t="shared" ref="U140:U192" si="239">+IF(T140="si",15,"0")</f>
        <v>0</v>
      </c>
      <c r="V140" s="332"/>
      <c r="W140" s="333" t="str">
        <f t="shared" ref="W140:W192" si="240">+IF(V140="si",15,"0")</f>
        <v>0</v>
      </c>
      <c r="X140" s="332"/>
      <c r="Y140" s="333" t="str">
        <f t="shared" ref="Y140:Y192" si="241">+IF(X140="Preventivo",15,IF(X140="Detectivo",10,"0"))</f>
        <v>0</v>
      </c>
      <c r="Z140" s="332"/>
      <c r="AA140" s="333" t="str">
        <f t="shared" ref="AA140:AA192" si="242">+IF(Z140="si",15,"0")</f>
        <v>0</v>
      </c>
      <c r="AB140" s="332"/>
      <c r="AC140" s="333" t="str">
        <f t="shared" ref="AC140:AC192" si="243">+IF(AB140="si",15,"0")</f>
        <v>0</v>
      </c>
      <c r="AD140" s="332"/>
      <c r="AE140" s="333" t="str">
        <f t="shared" ref="AE140:AE192" si="244">+IF(AD140="Completa",10,IF(AD140="Incompleta",5,"0"))</f>
        <v>0</v>
      </c>
      <c r="AF140" s="334" t="str">
        <f t="shared" ref="AF140:AF192" si="245">IF((SUM(S140,U140,W140,Y140,AA140,AC140,AE140)=0),"",(SUM(S140,U140,W140,Y140,AA140,AC140,AE140)))</f>
        <v/>
      </c>
      <c r="AG140" s="334" t="str">
        <f t="shared" ref="AG140:AG192" si="246">IF(AF140&lt;=85,"Débil",IF(AF140&lt;=95,"Moderado",IF(AF140=100,"Fuerte","")))</f>
        <v/>
      </c>
      <c r="AH140" s="335"/>
      <c r="AI140" s="334" t="str">
        <f t="shared" ref="AI140:AI192" si="247">+IF(AH140="siempre","Fuerte",IF(AH140="Algunas veces","Moderado",IF(AH140="No se ejecuta","Débil","")))</f>
        <v/>
      </c>
      <c r="AJ140" s="334" t="str">
        <f>IFERROR(VLOOKUP((CONCATENATE(AG140,AI140)),Listados!$U$3:$V$11,2,FALSE),"")</f>
        <v/>
      </c>
      <c r="AK140" s="334" t="str">
        <f t="shared" ref="AK140:AK192" si="248">IF(AJ140="","",IF(AJ140="Débil", 0, IF(AJ140="Moderado",50,100)))</f>
        <v/>
      </c>
      <c r="AL140" s="558"/>
      <c r="AM140" s="558"/>
      <c r="AN140" s="558"/>
      <c r="AO140" s="558"/>
      <c r="AP140" s="558"/>
      <c r="AQ140" s="558"/>
      <c r="AR140" s="565"/>
      <c r="AS140" s="565"/>
      <c r="AT140" s="565"/>
      <c r="AU140" s="565"/>
      <c r="AV140" s="336"/>
      <c r="AW140" s="336"/>
      <c r="AX140" s="339"/>
      <c r="AY140" s="339"/>
      <c r="AZ140" s="336"/>
      <c r="BA140" s="336"/>
      <c r="BB140" s="336"/>
      <c r="BC140" s="827"/>
      <c r="BD140" s="793"/>
      <c r="BE140" s="755"/>
      <c r="BF140" s="758"/>
      <c r="BG140" s="761"/>
    </row>
    <row r="141" spans="1:59" ht="30" customHeight="1">
      <c r="A141" s="636"/>
      <c r="B141" s="639"/>
      <c r="C141" s="642"/>
      <c r="D141" s="654"/>
      <c r="E141" s="572"/>
      <c r="F141" s="654"/>
      <c r="G141" s="329"/>
      <c r="H141" s="337"/>
      <c r="I141" s="337"/>
      <c r="J141" s="572"/>
      <c r="K141" s="565"/>
      <c r="L141" s="573"/>
      <c r="M141" s="565"/>
      <c r="N141" s="565"/>
      <c r="O141" s="347"/>
      <c r="P141" s="330"/>
      <c r="Q141" s="348"/>
      <c r="R141" s="332"/>
      <c r="S141" s="333" t="str">
        <f t="shared" si="238"/>
        <v>0</v>
      </c>
      <c r="T141" s="332"/>
      <c r="U141" s="333" t="str">
        <f t="shared" si="239"/>
        <v>0</v>
      </c>
      <c r="V141" s="332"/>
      <c r="W141" s="333" t="str">
        <f t="shared" si="240"/>
        <v>0</v>
      </c>
      <c r="X141" s="332"/>
      <c r="Y141" s="333" t="str">
        <f t="shared" si="241"/>
        <v>0</v>
      </c>
      <c r="Z141" s="332"/>
      <c r="AA141" s="333" t="str">
        <f t="shared" si="242"/>
        <v>0</v>
      </c>
      <c r="AB141" s="332"/>
      <c r="AC141" s="333" t="str">
        <f t="shared" si="243"/>
        <v>0</v>
      </c>
      <c r="AD141" s="332"/>
      <c r="AE141" s="333" t="str">
        <f t="shared" si="244"/>
        <v>0</v>
      </c>
      <c r="AF141" s="334" t="str">
        <f t="shared" si="245"/>
        <v/>
      </c>
      <c r="AG141" s="334" t="str">
        <f t="shared" si="246"/>
        <v/>
      </c>
      <c r="AH141" s="335"/>
      <c r="AI141" s="334" t="str">
        <f t="shared" si="247"/>
        <v/>
      </c>
      <c r="AJ141" s="334" t="str">
        <f>IFERROR(VLOOKUP((CONCATENATE(AG141,AI141)),Listados!$U$3:$V$11,2,FALSE),"")</f>
        <v/>
      </c>
      <c r="AK141" s="334" t="str">
        <f t="shared" si="248"/>
        <v/>
      </c>
      <c r="AL141" s="558"/>
      <c r="AM141" s="558"/>
      <c r="AN141" s="558"/>
      <c r="AO141" s="558"/>
      <c r="AP141" s="558"/>
      <c r="AQ141" s="558"/>
      <c r="AR141" s="565"/>
      <c r="AS141" s="565"/>
      <c r="AT141" s="565"/>
      <c r="AU141" s="565"/>
      <c r="AV141" s="336"/>
      <c r="AW141" s="336"/>
      <c r="AX141" s="339"/>
      <c r="AY141" s="339"/>
      <c r="AZ141" s="336"/>
      <c r="BA141" s="336"/>
      <c r="BB141" s="336"/>
      <c r="BC141" s="827"/>
      <c r="BD141" s="793"/>
      <c r="BE141" s="755"/>
      <c r="BF141" s="758"/>
      <c r="BG141" s="761"/>
    </row>
    <row r="142" spans="1:59" ht="32.25" customHeight="1" thickBot="1">
      <c r="A142" s="637"/>
      <c r="B142" s="640"/>
      <c r="C142" s="643"/>
      <c r="D142" s="655"/>
      <c r="E142" s="586"/>
      <c r="F142" s="655"/>
      <c r="G142" s="256"/>
      <c r="H142" s="257"/>
      <c r="I142" s="257"/>
      <c r="J142" s="586"/>
      <c r="K142" s="570"/>
      <c r="L142" s="587"/>
      <c r="M142" s="570"/>
      <c r="N142" s="570"/>
      <c r="O142" s="258"/>
      <c r="P142" s="259"/>
      <c r="Q142" s="269"/>
      <c r="R142" s="260"/>
      <c r="S142" s="261" t="str">
        <f t="shared" si="238"/>
        <v>0</v>
      </c>
      <c r="T142" s="260"/>
      <c r="U142" s="261" t="str">
        <f t="shared" si="239"/>
        <v>0</v>
      </c>
      <c r="V142" s="260"/>
      <c r="W142" s="261" t="str">
        <f t="shared" si="240"/>
        <v>0</v>
      </c>
      <c r="X142" s="260"/>
      <c r="Y142" s="261" t="str">
        <f t="shared" si="241"/>
        <v>0</v>
      </c>
      <c r="Z142" s="260"/>
      <c r="AA142" s="261" t="str">
        <f t="shared" si="242"/>
        <v>0</v>
      </c>
      <c r="AB142" s="260"/>
      <c r="AC142" s="261" t="str">
        <f t="shared" si="243"/>
        <v>0</v>
      </c>
      <c r="AD142" s="260"/>
      <c r="AE142" s="261" t="str">
        <f t="shared" si="244"/>
        <v>0</v>
      </c>
      <c r="AF142" s="262" t="str">
        <f t="shared" si="245"/>
        <v/>
      </c>
      <c r="AG142" s="262" t="str">
        <f t="shared" si="246"/>
        <v/>
      </c>
      <c r="AH142" s="263"/>
      <c r="AI142" s="262" t="str">
        <f t="shared" si="247"/>
        <v/>
      </c>
      <c r="AJ142" s="262" t="str">
        <f>IFERROR(VLOOKUP((CONCATENATE(AG142,AI142)),Listados!$U$3:$V$11,2,FALSE),"")</f>
        <v/>
      </c>
      <c r="AK142" s="262" t="str">
        <f t="shared" si="248"/>
        <v/>
      </c>
      <c r="AL142" s="560"/>
      <c r="AM142" s="560"/>
      <c r="AN142" s="560"/>
      <c r="AO142" s="560"/>
      <c r="AP142" s="560"/>
      <c r="AQ142" s="560"/>
      <c r="AR142" s="570"/>
      <c r="AS142" s="570"/>
      <c r="AT142" s="570"/>
      <c r="AU142" s="570"/>
      <c r="AV142" s="249"/>
      <c r="AW142" s="249"/>
      <c r="AX142" s="250"/>
      <c r="AY142" s="250"/>
      <c r="AZ142" s="249"/>
      <c r="BA142" s="249"/>
      <c r="BB142" s="249"/>
      <c r="BC142" s="828"/>
      <c r="BD142" s="794"/>
      <c r="BE142" s="756"/>
      <c r="BF142" s="759"/>
      <c r="BG142" s="762"/>
    </row>
    <row r="143" spans="1:59" ht="99.75">
      <c r="A143" s="658">
        <v>34</v>
      </c>
      <c r="B143" s="659" t="s">
        <v>593</v>
      </c>
      <c r="C143" s="724" t="s">
        <v>594</v>
      </c>
      <c r="D143" s="723" t="s">
        <v>622</v>
      </c>
      <c r="E143" s="574" t="s">
        <v>85</v>
      </c>
      <c r="F143" s="723" t="s">
        <v>65</v>
      </c>
      <c r="G143" s="90" t="s">
        <v>623</v>
      </c>
      <c r="H143" s="72" t="s">
        <v>67</v>
      </c>
      <c r="I143" s="72" t="s">
        <v>624</v>
      </c>
      <c r="J143" s="574" t="s">
        <v>88</v>
      </c>
      <c r="K143" s="557">
        <f>+VLOOKUP(J143,Listados!$K$8:$L$12,2,0)</f>
        <v>3</v>
      </c>
      <c r="L143" s="555" t="s">
        <v>70</v>
      </c>
      <c r="M143" s="557">
        <f>+VLOOKUP(L143,Listados!$K$13:$L$17,2,0)</f>
        <v>2</v>
      </c>
      <c r="N143" s="557" t="str">
        <f>IF(AND(J143&lt;&gt;"",L143&lt;&gt;""),VLOOKUP(J143&amp;L143,Listados!$M$3:$N$27,2,FALSE),"")</f>
        <v>Moderado</v>
      </c>
      <c r="O143" s="90" t="s">
        <v>625</v>
      </c>
      <c r="P143" s="73" t="s">
        <v>623</v>
      </c>
      <c r="Q143" s="74" t="s">
        <v>72</v>
      </c>
      <c r="R143" s="44" t="s">
        <v>73</v>
      </c>
      <c r="S143" s="53">
        <f t="shared" si="238"/>
        <v>15</v>
      </c>
      <c r="T143" s="44" t="s">
        <v>73</v>
      </c>
      <c r="U143" s="53">
        <f t="shared" si="239"/>
        <v>15</v>
      </c>
      <c r="V143" s="44" t="s">
        <v>73</v>
      </c>
      <c r="W143" s="53">
        <f t="shared" si="240"/>
        <v>15</v>
      </c>
      <c r="X143" s="44" t="s">
        <v>72</v>
      </c>
      <c r="Y143" s="53">
        <f t="shared" si="241"/>
        <v>15</v>
      </c>
      <c r="Z143" s="44" t="s">
        <v>73</v>
      </c>
      <c r="AA143" s="53">
        <f t="shared" si="242"/>
        <v>15</v>
      </c>
      <c r="AB143" s="44" t="s">
        <v>73</v>
      </c>
      <c r="AC143" s="53">
        <f t="shared" si="243"/>
        <v>15</v>
      </c>
      <c r="AD143" s="44" t="s">
        <v>74</v>
      </c>
      <c r="AE143" s="53">
        <f t="shared" si="244"/>
        <v>10</v>
      </c>
      <c r="AF143" s="71">
        <f t="shared" si="245"/>
        <v>100</v>
      </c>
      <c r="AG143" s="71" t="str">
        <f t="shared" si="246"/>
        <v>Fuerte</v>
      </c>
      <c r="AH143" s="75" t="s">
        <v>75</v>
      </c>
      <c r="AI143" s="71" t="str">
        <f t="shared" si="247"/>
        <v>Fuerte</v>
      </c>
      <c r="AJ143" s="71" t="str">
        <f>IFERROR(VLOOKUP((CONCATENATE(AG143,AI143)),Listados!$U$3:$V$11,2,FALSE),"")</f>
        <v>Fuerte</v>
      </c>
      <c r="AK143" s="71">
        <f t="shared" si="248"/>
        <v>100</v>
      </c>
      <c r="AL143" s="564">
        <f t="shared" ref="AL143" si="249">AVERAGE(AK143:AK146)</f>
        <v>100</v>
      </c>
      <c r="AM143" s="564" t="str">
        <f t="shared" ref="AM143" si="250">IF(AL143&lt;=50,"Débil",IF(AL143&lt;=99,"Moderado",IF(AL143=100,"fuerte","")))</f>
        <v>fuerte</v>
      </c>
      <c r="AN143" s="564">
        <f t="shared" ref="AN143" si="251">+IF(AND(Q143="Preventivo",AM143="Fuerte"),2,IF(AND(Q143="Preventivo",AM143="Moderado"),1,0))</f>
        <v>2</v>
      </c>
      <c r="AO143" s="564">
        <f t="shared" ref="AO143" si="252">+IF(AND(Q143="Detectivo",$AM143="Fuerte"),2,IF(AND(Q143="Detectivo",$AM143="Moderado"),1,IF(AND(Q143="Preventivo",$AM143="Fuerte"),1,0)))</f>
        <v>1</v>
      </c>
      <c r="AP143" s="567">
        <f t="shared" ref="AP143" si="253">+K143-AN143</f>
        <v>1</v>
      </c>
      <c r="AQ143" s="567">
        <f t="shared" ref="AQ143" si="254">+M143-AO143</f>
        <v>1</v>
      </c>
      <c r="AR143" s="557" t="str">
        <f>+VLOOKUP(MIN(AP143),Listados!$J$18:$K$24,2,TRUE)</f>
        <v>Rara Vez</v>
      </c>
      <c r="AS143" s="557" t="str">
        <f>+VLOOKUP(MIN(AQ143),Listados!$J$26:$K$32,2,TRUE)</f>
        <v>Insignificante</v>
      </c>
      <c r="AT143" s="557" t="str">
        <f>IF(AND(AR143&lt;&gt;"",AS143&lt;&gt;""),VLOOKUP(AR143&amp;AS143,Listados!$M$3:$N$27,2,FALSE),"")</f>
        <v>Bajo</v>
      </c>
      <c r="AU143" s="557" t="str">
        <f>+VLOOKUP(AT143,Listados!$P$3:$Q$6,2,FALSE)</f>
        <v>Asumir el riesgo</v>
      </c>
      <c r="AV143" s="137" t="s">
        <v>626</v>
      </c>
      <c r="AW143" s="236" t="s">
        <v>609</v>
      </c>
      <c r="AX143" s="237">
        <v>45658</v>
      </c>
      <c r="AY143" s="237">
        <v>46022</v>
      </c>
      <c r="AZ143" s="236" t="s">
        <v>600</v>
      </c>
      <c r="BA143" s="236" t="s">
        <v>627</v>
      </c>
      <c r="BB143" s="168" t="s">
        <v>628</v>
      </c>
      <c r="BC143" s="787" t="s">
        <v>628</v>
      </c>
      <c r="BD143" s="790"/>
      <c r="BE143" s="766" t="s">
        <v>629</v>
      </c>
      <c r="BF143" s="770" t="s">
        <v>1627</v>
      </c>
      <c r="BG143" s="651"/>
    </row>
    <row r="144" spans="1:59">
      <c r="A144" s="636"/>
      <c r="B144" s="639"/>
      <c r="C144" s="642"/>
      <c r="D144" s="654"/>
      <c r="E144" s="572"/>
      <c r="F144" s="654"/>
      <c r="G144" s="329"/>
      <c r="H144" s="337"/>
      <c r="I144" s="337"/>
      <c r="J144" s="572"/>
      <c r="K144" s="565"/>
      <c r="L144" s="573"/>
      <c r="M144" s="565"/>
      <c r="N144" s="565"/>
      <c r="O144" s="354"/>
      <c r="P144" s="73"/>
      <c r="Q144" s="350"/>
      <c r="R144" s="332"/>
      <c r="S144" s="333" t="str">
        <f t="shared" si="238"/>
        <v>0</v>
      </c>
      <c r="T144" s="332"/>
      <c r="U144" s="333" t="str">
        <f t="shared" si="239"/>
        <v>0</v>
      </c>
      <c r="V144" s="332"/>
      <c r="W144" s="333" t="str">
        <f t="shared" si="240"/>
        <v>0</v>
      </c>
      <c r="X144" s="332"/>
      <c r="Y144" s="333" t="str">
        <f t="shared" si="241"/>
        <v>0</v>
      </c>
      <c r="Z144" s="332"/>
      <c r="AA144" s="333" t="str">
        <f t="shared" si="242"/>
        <v>0</v>
      </c>
      <c r="AB144" s="332"/>
      <c r="AC144" s="333" t="str">
        <f t="shared" si="243"/>
        <v>0</v>
      </c>
      <c r="AD144" s="332"/>
      <c r="AE144" s="333" t="str">
        <f t="shared" si="244"/>
        <v>0</v>
      </c>
      <c r="AF144" s="334" t="str">
        <f t="shared" si="245"/>
        <v/>
      </c>
      <c r="AG144" s="334" t="str">
        <f t="shared" si="246"/>
        <v/>
      </c>
      <c r="AH144" s="335"/>
      <c r="AI144" s="334" t="str">
        <f t="shared" si="247"/>
        <v/>
      </c>
      <c r="AJ144" s="334" t="str">
        <f>IFERROR(VLOOKUP((CONCATENATE(AG144,AI144)),Listados!$U$3:$V$11,2,FALSE),"")</f>
        <v/>
      </c>
      <c r="AK144" s="334" t="str">
        <f t="shared" si="248"/>
        <v/>
      </c>
      <c r="AL144" s="558"/>
      <c r="AM144" s="558"/>
      <c r="AN144" s="558"/>
      <c r="AO144" s="558"/>
      <c r="AP144" s="567"/>
      <c r="AQ144" s="567"/>
      <c r="AR144" s="565"/>
      <c r="AS144" s="565"/>
      <c r="AT144" s="565"/>
      <c r="AU144" s="565"/>
      <c r="AV144" s="336"/>
      <c r="AW144" s="336"/>
      <c r="AX144" s="336"/>
      <c r="AY144" s="336"/>
      <c r="AZ144" s="336"/>
      <c r="BA144" s="336"/>
      <c r="BB144" s="168"/>
      <c r="BC144" s="787"/>
      <c r="BD144" s="790"/>
      <c r="BE144" s="645"/>
      <c r="BF144" s="648"/>
      <c r="BG144" s="651"/>
    </row>
    <row r="145" spans="1:59">
      <c r="A145" s="636"/>
      <c r="B145" s="639"/>
      <c r="C145" s="642"/>
      <c r="D145" s="654"/>
      <c r="E145" s="572"/>
      <c r="F145" s="654"/>
      <c r="G145" s="329"/>
      <c r="H145" s="337"/>
      <c r="I145" s="337"/>
      <c r="J145" s="572"/>
      <c r="K145" s="565"/>
      <c r="L145" s="573"/>
      <c r="M145" s="565"/>
      <c r="N145" s="565"/>
      <c r="O145" s="347"/>
      <c r="P145" s="73"/>
      <c r="Q145" s="348"/>
      <c r="R145" s="332"/>
      <c r="S145" s="333" t="str">
        <f t="shared" si="238"/>
        <v>0</v>
      </c>
      <c r="T145" s="332"/>
      <c r="U145" s="333" t="str">
        <f t="shared" si="239"/>
        <v>0</v>
      </c>
      <c r="V145" s="332"/>
      <c r="W145" s="333" t="str">
        <f t="shared" si="240"/>
        <v>0</v>
      </c>
      <c r="X145" s="332"/>
      <c r="Y145" s="333" t="str">
        <f t="shared" si="241"/>
        <v>0</v>
      </c>
      <c r="Z145" s="332"/>
      <c r="AA145" s="333" t="str">
        <f t="shared" si="242"/>
        <v>0</v>
      </c>
      <c r="AB145" s="332"/>
      <c r="AC145" s="333" t="str">
        <f t="shared" si="243"/>
        <v>0</v>
      </c>
      <c r="AD145" s="332"/>
      <c r="AE145" s="333" t="str">
        <f t="shared" si="244"/>
        <v>0</v>
      </c>
      <c r="AF145" s="334" t="str">
        <f t="shared" si="245"/>
        <v/>
      </c>
      <c r="AG145" s="334" t="str">
        <f t="shared" si="246"/>
        <v/>
      </c>
      <c r="AH145" s="335"/>
      <c r="AI145" s="334" t="str">
        <f t="shared" si="247"/>
        <v/>
      </c>
      <c r="AJ145" s="334" t="str">
        <f>IFERROR(VLOOKUP((CONCATENATE(AG145,AI145)),Listados!$U$3:$V$11,2,FALSE),"")</f>
        <v/>
      </c>
      <c r="AK145" s="334" t="str">
        <f t="shared" si="248"/>
        <v/>
      </c>
      <c r="AL145" s="558"/>
      <c r="AM145" s="558"/>
      <c r="AN145" s="558"/>
      <c r="AO145" s="558"/>
      <c r="AP145" s="567"/>
      <c r="AQ145" s="567"/>
      <c r="AR145" s="565"/>
      <c r="AS145" s="565"/>
      <c r="AT145" s="565"/>
      <c r="AU145" s="565"/>
      <c r="AV145" s="336"/>
      <c r="AW145" s="336"/>
      <c r="AX145" s="339"/>
      <c r="AY145" s="339"/>
      <c r="AZ145" s="336"/>
      <c r="BA145" s="336"/>
      <c r="BB145" s="168"/>
      <c r="BC145" s="787"/>
      <c r="BD145" s="790"/>
      <c r="BE145" s="645"/>
      <c r="BF145" s="648"/>
      <c r="BG145" s="651"/>
    </row>
    <row r="146" spans="1:59">
      <c r="A146" s="637"/>
      <c r="B146" s="640"/>
      <c r="C146" s="643"/>
      <c r="D146" s="655"/>
      <c r="E146" s="586"/>
      <c r="F146" s="655"/>
      <c r="G146" s="256"/>
      <c r="H146" s="257"/>
      <c r="I146" s="257"/>
      <c r="J146" s="586"/>
      <c r="K146" s="570"/>
      <c r="L146" s="587"/>
      <c r="M146" s="570"/>
      <c r="N146" s="570"/>
      <c r="O146" s="258"/>
      <c r="P146" s="259"/>
      <c r="Q146" s="269"/>
      <c r="R146" s="260"/>
      <c r="S146" s="261" t="str">
        <f t="shared" si="238"/>
        <v>0</v>
      </c>
      <c r="T146" s="260"/>
      <c r="U146" s="261" t="str">
        <f t="shared" si="239"/>
        <v>0</v>
      </c>
      <c r="V146" s="260"/>
      <c r="W146" s="261" t="str">
        <f t="shared" si="240"/>
        <v>0</v>
      </c>
      <c r="X146" s="260"/>
      <c r="Y146" s="261" t="str">
        <f t="shared" si="241"/>
        <v>0</v>
      </c>
      <c r="Z146" s="260"/>
      <c r="AA146" s="261" t="str">
        <f t="shared" si="242"/>
        <v>0</v>
      </c>
      <c r="AB146" s="260"/>
      <c r="AC146" s="261" t="str">
        <f t="shared" si="243"/>
        <v>0</v>
      </c>
      <c r="AD146" s="260"/>
      <c r="AE146" s="261" t="str">
        <f t="shared" si="244"/>
        <v>0</v>
      </c>
      <c r="AF146" s="262" t="str">
        <f t="shared" si="245"/>
        <v/>
      </c>
      <c r="AG146" s="262" t="str">
        <f t="shared" si="246"/>
        <v/>
      </c>
      <c r="AH146" s="263"/>
      <c r="AI146" s="262" t="str">
        <f t="shared" si="247"/>
        <v/>
      </c>
      <c r="AJ146" s="262" t="str">
        <f>IFERROR(VLOOKUP((CONCATENATE(AG146,AI146)),Listados!$U$3:$V$11,2,FALSE),"")</f>
        <v/>
      </c>
      <c r="AK146" s="262" t="str">
        <f t="shared" si="248"/>
        <v/>
      </c>
      <c r="AL146" s="560"/>
      <c r="AM146" s="560"/>
      <c r="AN146" s="560"/>
      <c r="AO146" s="560"/>
      <c r="AP146" s="568"/>
      <c r="AQ146" s="568"/>
      <c r="AR146" s="570"/>
      <c r="AS146" s="570"/>
      <c r="AT146" s="570"/>
      <c r="AU146" s="570"/>
      <c r="AV146" s="249"/>
      <c r="AW146" s="249"/>
      <c r="AX146" s="250"/>
      <c r="AY146" s="250"/>
      <c r="AZ146" s="249"/>
      <c r="BA146" s="249"/>
      <c r="BB146" s="169"/>
      <c r="BC146" s="788"/>
      <c r="BD146" s="791"/>
      <c r="BE146" s="646"/>
      <c r="BF146" s="649"/>
      <c r="BG146" s="652"/>
    </row>
    <row r="147" spans="1:59" ht="129" customHeight="1">
      <c r="A147" s="635">
        <v>35</v>
      </c>
      <c r="B147" s="638" t="s">
        <v>593</v>
      </c>
      <c r="C147" s="641" t="s">
        <v>594</v>
      </c>
      <c r="D147" s="653" t="s">
        <v>630</v>
      </c>
      <c r="E147" s="584" t="s">
        <v>278</v>
      </c>
      <c r="F147" s="653" t="s">
        <v>65</v>
      </c>
      <c r="G147" s="92" t="s">
        <v>631</v>
      </c>
      <c r="H147" s="128" t="s">
        <v>67</v>
      </c>
      <c r="I147" s="128" t="s">
        <v>632</v>
      </c>
      <c r="J147" s="584" t="s">
        <v>180</v>
      </c>
      <c r="K147" s="569">
        <f>+VLOOKUP(J147,Listados!$K$8:$L$12,2,0)</f>
        <v>2</v>
      </c>
      <c r="L147" s="585" t="s">
        <v>70</v>
      </c>
      <c r="M147" s="569">
        <f>+VLOOKUP(L147,Listados!$K$13:$L$17,2,0)</f>
        <v>2</v>
      </c>
      <c r="N147" s="569" t="str">
        <f>IF(AND(J147&lt;&gt;"",L147&lt;&gt;""),VLOOKUP(J147&amp;L147,Listados!$M$3:$N$27,2,FALSE),"")</f>
        <v>Bajo</v>
      </c>
      <c r="O147" s="129" t="s">
        <v>633</v>
      </c>
      <c r="P147" s="177" t="s">
        <v>631</v>
      </c>
      <c r="Q147" s="130" t="s">
        <v>72</v>
      </c>
      <c r="R147" s="94" t="s">
        <v>73</v>
      </c>
      <c r="S147" s="93">
        <f t="shared" si="238"/>
        <v>15</v>
      </c>
      <c r="T147" s="94" t="s">
        <v>73</v>
      </c>
      <c r="U147" s="93">
        <f t="shared" si="239"/>
        <v>15</v>
      </c>
      <c r="V147" s="94" t="s">
        <v>73</v>
      </c>
      <c r="W147" s="93">
        <f t="shared" si="240"/>
        <v>15</v>
      </c>
      <c r="X147" s="94" t="s">
        <v>72</v>
      </c>
      <c r="Y147" s="93">
        <f t="shared" si="241"/>
        <v>15</v>
      </c>
      <c r="Z147" s="94" t="s">
        <v>73</v>
      </c>
      <c r="AA147" s="93">
        <f t="shared" si="242"/>
        <v>15</v>
      </c>
      <c r="AB147" s="94" t="s">
        <v>73</v>
      </c>
      <c r="AC147" s="93">
        <f t="shared" si="243"/>
        <v>15</v>
      </c>
      <c r="AD147" s="94" t="s">
        <v>74</v>
      </c>
      <c r="AE147" s="93">
        <f t="shared" si="244"/>
        <v>10</v>
      </c>
      <c r="AF147" s="96">
        <f t="shared" si="245"/>
        <v>100</v>
      </c>
      <c r="AG147" s="96" t="str">
        <f t="shared" si="246"/>
        <v>Fuerte</v>
      </c>
      <c r="AH147" s="107" t="s">
        <v>75</v>
      </c>
      <c r="AI147" s="96" t="str">
        <f t="shared" si="247"/>
        <v>Fuerte</v>
      </c>
      <c r="AJ147" s="96" t="str">
        <f>IFERROR(VLOOKUP((CONCATENATE(AG147,AI147)),Listados!$U$3:$V$11,2,FALSE),"")</f>
        <v>Fuerte</v>
      </c>
      <c r="AK147" s="96">
        <f t="shared" si="248"/>
        <v>100</v>
      </c>
      <c r="AL147" s="559">
        <f t="shared" ref="AL147" si="255">AVERAGE(AK147:AK150)</f>
        <v>100</v>
      </c>
      <c r="AM147" s="559" t="str">
        <f t="shared" ref="AM147" si="256">IF(AL147&lt;=50,"Débil",IF(AL147&lt;=99,"Moderado",IF(AL147=100,"fuerte","")))</f>
        <v>fuerte</v>
      </c>
      <c r="AN147" s="559">
        <f t="shared" ref="AN147" si="257">+IF(AND(Q147="Preventivo",AM147="Fuerte"),2,IF(AND(Q147="Preventivo",AM147="Moderado"),1,0))</f>
        <v>2</v>
      </c>
      <c r="AO147" s="559">
        <f t="shared" ref="AO147" si="258">+IF(AND(Q147="Detectivo",$AM147="Fuerte"),2,IF(AND(Q147="Detectivo",$AM147="Moderado"),1,IF(AND(Q147="Preventivo",$AM147="Fuerte"),1,0)))</f>
        <v>1</v>
      </c>
      <c r="AP147" s="566">
        <f t="shared" ref="AP147" si="259">+K147-AN147</f>
        <v>0</v>
      </c>
      <c r="AQ147" s="566">
        <f t="shared" ref="AQ147" si="260">+M147-AO147</f>
        <v>1</v>
      </c>
      <c r="AR147" s="569" t="str">
        <f>+VLOOKUP(MIN(AP147),Listados!$J$18:$K$24,2,TRUE)</f>
        <v>Rara Vez</v>
      </c>
      <c r="AS147" s="569" t="str">
        <f>+VLOOKUP(MIN(AQ147),Listados!$J$26:$K$32,2,TRUE)</f>
        <v>Insignificante</v>
      </c>
      <c r="AT147" s="569" t="str">
        <f>IF(AND(AR147&lt;&gt;"",AS147&lt;&gt;""),VLOOKUP(AR147&amp;AS147,Listados!$M$3:$N$27,2,FALSE),"")</f>
        <v>Bajo</v>
      </c>
      <c r="AU147" s="569" t="str">
        <f>+VLOOKUP(AT147,Listados!$P$3:$Q$6,2,FALSE)</f>
        <v>Asumir el riesgo</v>
      </c>
      <c r="AV147" s="120" t="s">
        <v>634</v>
      </c>
      <c r="AW147" s="231" t="s">
        <v>609</v>
      </c>
      <c r="AX147" s="232">
        <v>45658</v>
      </c>
      <c r="AY147" s="238">
        <v>46022</v>
      </c>
      <c r="AZ147" s="231" t="s">
        <v>600</v>
      </c>
      <c r="BA147" s="231" t="s">
        <v>601</v>
      </c>
      <c r="BB147" s="787" t="s">
        <v>635</v>
      </c>
      <c r="BC147" s="786" t="s">
        <v>635</v>
      </c>
      <c r="BD147" s="789"/>
      <c r="BE147" s="784" t="s">
        <v>636</v>
      </c>
      <c r="BF147" s="647" t="s">
        <v>1628</v>
      </c>
      <c r="BG147" s="650"/>
    </row>
    <row r="148" spans="1:59">
      <c r="A148" s="636"/>
      <c r="B148" s="639"/>
      <c r="C148" s="642"/>
      <c r="D148" s="654"/>
      <c r="E148" s="572"/>
      <c r="F148" s="654"/>
      <c r="G148" s="329"/>
      <c r="H148" s="337"/>
      <c r="I148" s="337"/>
      <c r="J148" s="572"/>
      <c r="K148" s="565"/>
      <c r="L148" s="573"/>
      <c r="M148" s="565"/>
      <c r="N148" s="565"/>
      <c r="O148" s="354"/>
      <c r="P148" s="330"/>
      <c r="Q148" s="350"/>
      <c r="R148" s="332"/>
      <c r="S148" s="333" t="str">
        <f t="shared" si="238"/>
        <v>0</v>
      </c>
      <c r="T148" s="332"/>
      <c r="U148" s="333" t="str">
        <f t="shared" si="239"/>
        <v>0</v>
      </c>
      <c r="V148" s="332"/>
      <c r="W148" s="333" t="str">
        <f t="shared" si="240"/>
        <v>0</v>
      </c>
      <c r="X148" s="332"/>
      <c r="Y148" s="333" t="str">
        <f t="shared" si="241"/>
        <v>0</v>
      </c>
      <c r="Z148" s="332"/>
      <c r="AA148" s="333" t="str">
        <f t="shared" si="242"/>
        <v>0</v>
      </c>
      <c r="AB148" s="332"/>
      <c r="AC148" s="333" t="str">
        <f t="shared" si="243"/>
        <v>0</v>
      </c>
      <c r="AD148" s="332"/>
      <c r="AE148" s="333" t="str">
        <f t="shared" si="244"/>
        <v>0</v>
      </c>
      <c r="AF148" s="334" t="str">
        <f t="shared" si="245"/>
        <v/>
      </c>
      <c r="AG148" s="334" t="str">
        <f t="shared" si="246"/>
        <v/>
      </c>
      <c r="AH148" s="335"/>
      <c r="AI148" s="334" t="str">
        <f t="shared" si="247"/>
        <v/>
      </c>
      <c r="AJ148" s="334" t="str">
        <f>IFERROR(VLOOKUP((CONCATENATE(AG148,AI148)),Listados!$U$3:$V$11,2,FALSE),"")</f>
        <v/>
      </c>
      <c r="AK148" s="334" t="str">
        <f t="shared" si="248"/>
        <v/>
      </c>
      <c r="AL148" s="558"/>
      <c r="AM148" s="558"/>
      <c r="AN148" s="558"/>
      <c r="AO148" s="558"/>
      <c r="AP148" s="567"/>
      <c r="AQ148" s="567"/>
      <c r="AR148" s="565"/>
      <c r="AS148" s="565"/>
      <c r="AT148" s="565"/>
      <c r="AU148" s="565"/>
      <c r="AV148" s="336"/>
      <c r="AW148" s="336"/>
      <c r="AX148" s="339"/>
      <c r="AY148" s="361"/>
      <c r="AZ148" s="336"/>
      <c r="BA148" s="336"/>
      <c r="BB148" s="787"/>
      <c r="BC148" s="787"/>
      <c r="BD148" s="790"/>
      <c r="BE148" s="785"/>
      <c r="BF148" s="648"/>
      <c r="BG148" s="651"/>
    </row>
    <row r="149" spans="1:59">
      <c r="A149" s="636"/>
      <c r="B149" s="639"/>
      <c r="C149" s="642"/>
      <c r="D149" s="654"/>
      <c r="E149" s="572"/>
      <c r="F149" s="654"/>
      <c r="G149" s="329"/>
      <c r="H149" s="337"/>
      <c r="I149" s="337"/>
      <c r="J149" s="572"/>
      <c r="K149" s="565"/>
      <c r="L149" s="573"/>
      <c r="M149" s="565"/>
      <c r="N149" s="565"/>
      <c r="O149" s="347"/>
      <c r="P149" s="73"/>
      <c r="Q149" s="348"/>
      <c r="R149" s="332"/>
      <c r="S149" s="333" t="str">
        <f t="shared" si="238"/>
        <v>0</v>
      </c>
      <c r="T149" s="332"/>
      <c r="U149" s="333" t="str">
        <f t="shared" si="239"/>
        <v>0</v>
      </c>
      <c r="V149" s="332"/>
      <c r="W149" s="333" t="str">
        <f t="shared" si="240"/>
        <v>0</v>
      </c>
      <c r="X149" s="332"/>
      <c r="Y149" s="333" t="str">
        <f t="shared" si="241"/>
        <v>0</v>
      </c>
      <c r="Z149" s="332"/>
      <c r="AA149" s="333" t="str">
        <f t="shared" si="242"/>
        <v>0</v>
      </c>
      <c r="AB149" s="332"/>
      <c r="AC149" s="333" t="str">
        <f t="shared" si="243"/>
        <v>0</v>
      </c>
      <c r="AD149" s="332"/>
      <c r="AE149" s="333" t="str">
        <f t="shared" si="244"/>
        <v>0</v>
      </c>
      <c r="AF149" s="334" t="str">
        <f t="shared" si="245"/>
        <v/>
      </c>
      <c r="AG149" s="334" t="str">
        <f t="shared" si="246"/>
        <v/>
      </c>
      <c r="AH149" s="335"/>
      <c r="AI149" s="334" t="str">
        <f t="shared" si="247"/>
        <v/>
      </c>
      <c r="AJ149" s="334" t="str">
        <f>IFERROR(VLOOKUP((CONCATENATE(AG149,AI149)),Listados!$U$3:$V$11,2,FALSE),"")</f>
        <v/>
      </c>
      <c r="AK149" s="334" t="str">
        <f t="shared" si="248"/>
        <v/>
      </c>
      <c r="AL149" s="558"/>
      <c r="AM149" s="558"/>
      <c r="AN149" s="558"/>
      <c r="AO149" s="558"/>
      <c r="AP149" s="567"/>
      <c r="AQ149" s="567"/>
      <c r="AR149" s="565"/>
      <c r="AS149" s="565"/>
      <c r="AT149" s="565"/>
      <c r="AU149" s="565"/>
      <c r="AV149" s="336"/>
      <c r="AW149" s="336"/>
      <c r="AX149" s="339"/>
      <c r="AY149" s="361"/>
      <c r="AZ149" s="336"/>
      <c r="BA149" s="336"/>
      <c r="BB149" s="787"/>
      <c r="BC149" s="787"/>
      <c r="BD149" s="790"/>
      <c r="BE149" s="785"/>
      <c r="BF149" s="648"/>
      <c r="BG149" s="651"/>
    </row>
    <row r="150" spans="1:59">
      <c r="A150" s="697"/>
      <c r="B150" s="695"/>
      <c r="C150" s="722"/>
      <c r="D150" s="591"/>
      <c r="E150" s="548"/>
      <c r="F150" s="591"/>
      <c r="G150" s="221"/>
      <c r="H150" s="228"/>
      <c r="I150" s="228"/>
      <c r="J150" s="548"/>
      <c r="K150" s="556"/>
      <c r="L150" s="554"/>
      <c r="M150" s="556"/>
      <c r="N150" s="556"/>
      <c r="O150" s="229"/>
      <c r="P150" s="233"/>
      <c r="Q150" s="230"/>
      <c r="R150" s="223"/>
      <c r="S150" s="224" t="str">
        <f t="shared" si="238"/>
        <v>0</v>
      </c>
      <c r="T150" s="223"/>
      <c r="U150" s="224" t="str">
        <f t="shared" si="239"/>
        <v>0</v>
      </c>
      <c r="V150" s="223"/>
      <c r="W150" s="224" t="str">
        <f t="shared" si="240"/>
        <v>0</v>
      </c>
      <c r="X150" s="223"/>
      <c r="Y150" s="224" t="str">
        <f t="shared" si="241"/>
        <v>0</v>
      </c>
      <c r="Z150" s="223"/>
      <c r="AA150" s="224" t="str">
        <f t="shared" si="242"/>
        <v>0</v>
      </c>
      <c r="AB150" s="223"/>
      <c r="AC150" s="224" t="str">
        <f t="shared" si="243"/>
        <v>0</v>
      </c>
      <c r="AD150" s="223"/>
      <c r="AE150" s="224" t="str">
        <f t="shared" si="244"/>
        <v>0</v>
      </c>
      <c r="AF150" s="225" t="str">
        <f t="shared" si="245"/>
        <v/>
      </c>
      <c r="AG150" s="225" t="str">
        <f t="shared" si="246"/>
        <v/>
      </c>
      <c r="AH150" s="226"/>
      <c r="AI150" s="225" t="str">
        <f t="shared" si="247"/>
        <v/>
      </c>
      <c r="AJ150" s="225" t="str">
        <f>IFERROR(VLOOKUP((CONCATENATE(AG150,AI150)),Listados!$U$3:$V$11,2,FALSE),"")</f>
        <v/>
      </c>
      <c r="AK150" s="225" t="str">
        <f t="shared" si="248"/>
        <v/>
      </c>
      <c r="AL150" s="563"/>
      <c r="AM150" s="563"/>
      <c r="AN150" s="563"/>
      <c r="AO150" s="563"/>
      <c r="AP150" s="567"/>
      <c r="AQ150" s="567"/>
      <c r="AR150" s="556"/>
      <c r="AS150" s="556"/>
      <c r="AT150" s="556"/>
      <c r="AU150" s="556"/>
      <c r="AV150" s="231"/>
      <c r="AW150" s="168"/>
      <c r="AX150" s="196"/>
      <c r="AY150" s="197"/>
      <c r="AZ150" s="168"/>
      <c r="BA150" s="168"/>
      <c r="BB150" s="787"/>
      <c r="BC150" s="787"/>
      <c r="BD150" s="790"/>
      <c r="BE150" s="785"/>
      <c r="BF150" s="648"/>
      <c r="BG150" s="651"/>
    </row>
    <row r="151" spans="1:59" ht="114.75">
      <c r="A151" s="635">
        <v>36</v>
      </c>
      <c r="B151" s="638" t="s">
        <v>593</v>
      </c>
      <c r="C151" s="641" t="s">
        <v>594</v>
      </c>
      <c r="D151" s="653" t="s">
        <v>637</v>
      </c>
      <c r="E151" s="584" t="s">
        <v>278</v>
      </c>
      <c r="F151" s="653" t="s">
        <v>65</v>
      </c>
      <c r="G151" s="92" t="s">
        <v>638</v>
      </c>
      <c r="H151" s="128" t="s">
        <v>67</v>
      </c>
      <c r="I151" s="128" t="s">
        <v>639</v>
      </c>
      <c r="J151" s="584" t="s">
        <v>88</v>
      </c>
      <c r="K151" s="569">
        <f>+VLOOKUP(J151,Listados!$K$8:$L$12,2,0)</f>
        <v>3</v>
      </c>
      <c r="L151" s="585" t="s">
        <v>640</v>
      </c>
      <c r="M151" s="569">
        <f>+VLOOKUP(L151,Listados!$K$13:$L$17,2,0)</f>
        <v>1</v>
      </c>
      <c r="N151" s="569" t="str">
        <f>IF(AND(J151&lt;&gt;"",L151&lt;&gt;""),VLOOKUP(J151&amp;L151,Listados!$M$3:$N$27,2,FALSE),"")</f>
        <v>Bajo</v>
      </c>
      <c r="O151" s="129" t="s">
        <v>641</v>
      </c>
      <c r="P151" s="105" t="s">
        <v>638</v>
      </c>
      <c r="Q151" s="130" t="s">
        <v>72</v>
      </c>
      <c r="R151" s="94" t="s">
        <v>73</v>
      </c>
      <c r="S151" s="93">
        <f t="shared" si="238"/>
        <v>15</v>
      </c>
      <c r="T151" s="94" t="s">
        <v>73</v>
      </c>
      <c r="U151" s="93">
        <f t="shared" si="239"/>
        <v>15</v>
      </c>
      <c r="V151" s="94" t="s">
        <v>73</v>
      </c>
      <c r="W151" s="93">
        <f t="shared" si="240"/>
        <v>15</v>
      </c>
      <c r="X151" s="94" t="s">
        <v>72</v>
      </c>
      <c r="Y151" s="93">
        <f t="shared" si="241"/>
        <v>15</v>
      </c>
      <c r="Z151" s="94" t="s">
        <v>73</v>
      </c>
      <c r="AA151" s="93">
        <f t="shared" si="242"/>
        <v>15</v>
      </c>
      <c r="AB151" s="94" t="s">
        <v>73</v>
      </c>
      <c r="AC151" s="93">
        <f t="shared" si="243"/>
        <v>15</v>
      </c>
      <c r="AD151" s="94" t="s">
        <v>74</v>
      </c>
      <c r="AE151" s="93">
        <f t="shared" si="244"/>
        <v>10</v>
      </c>
      <c r="AF151" s="96">
        <f t="shared" si="245"/>
        <v>100</v>
      </c>
      <c r="AG151" s="96" t="str">
        <f t="shared" si="246"/>
        <v>Fuerte</v>
      </c>
      <c r="AH151" s="107" t="s">
        <v>75</v>
      </c>
      <c r="AI151" s="96" t="str">
        <f t="shared" si="247"/>
        <v>Fuerte</v>
      </c>
      <c r="AJ151" s="96" t="str">
        <f>IFERROR(VLOOKUP((CONCATENATE(AG151,AI151)),Listados!$U$3:$V$11,2,FALSE),"")</f>
        <v>Fuerte</v>
      </c>
      <c r="AK151" s="96">
        <f t="shared" si="248"/>
        <v>100</v>
      </c>
      <c r="AL151" s="559">
        <f t="shared" ref="AL151" si="261">AVERAGE(AK151:AK154)</f>
        <v>100</v>
      </c>
      <c r="AM151" s="559" t="str">
        <f t="shared" ref="AM151" si="262">IF(AL151&lt;=50,"Débil",IF(AL151&lt;=99,"Moderado",IF(AL151=100,"fuerte","")))</f>
        <v>fuerte</v>
      </c>
      <c r="AN151" s="559">
        <f t="shared" ref="AN151" si="263">+IF(AND(Q151="Preventivo",AM151="Fuerte"),2,IF(AND(Q151="Preventivo",AM151="Moderado"),1,0))</f>
        <v>2</v>
      </c>
      <c r="AO151" s="559">
        <f t="shared" ref="AO151" si="264">+IF(AND(Q151="Detectivo",$AM151="Fuerte"),2,IF(AND(Q151="Detectivo",$AM151="Moderado"),1,IF(AND(Q151="Preventivo",$AM151="Fuerte"),1,0)))</f>
        <v>1</v>
      </c>
      <c r="AP151" s="566">
        <f t="shared" ref="AP151" si="265">+K151-AN151</f>
        <v>1</v>
      </c>
      <c r="AQ151" s="566">
        <f t="shared" ref="AQ151" si="266">+M151-AO151</f>
        <v>0</v>
      </c>
      <c r="AR151" s="569" t="str">
        <f>+VLOOKUP(MIN(AP151),Listados!$J$18:$K$24,2,TRUE)</f>
        <v>Rara Vez</v>
      </c>
      <c r="AS151" s="569" t="str">
        <f>+VLOOKUP(MIN(AQ151),Listados!$J$26:$K$32,2,TRUE)</f>
        <v>Insignificante</v>
      </c>
      <c r="AT151" s="569" t="str">
        <f>IF(AND(AR151&lt;&gt;"",AS151&lt;&gt;""),VLOOKUP(AR151&amp;AS151,Listados!$M$3:$N$27,2,FALSE),"")</f>
        <v>Bajo</v>
      </c>
      <c r="AU151" s="569" t="str">
        <f>+VLOOKUP(AT151,Listados!$P$3:$Q$6,2,FALSE)</f>
        <v>Asumir el riesgo</v>
      </c>
      <c r="AV151" s="120" t="s">
        <v>642</v>
      </c>
      <c r="AW151" s="127" t="s">
        <v>354</v>
      </c>
      <c r="AX151" s="198">
        <v>45658</v>
      </c>
      <c r="AY151" s="199">
        <v>46022</v>
      </c>
      <c r="AZ151" s="127" t="s">
        <v>600</v>
      </c>
      <c r="BA151" s="127" t="s">
        <v>627</v>
      </c>
      <c r="BB151" s="167" t="s">
        <v>643</v>
      </c>
      <c r="BC151" s="786" t="s">
        <v>644</v>
      </c>
      <c r="BD151" s="789"/>
      <c r="BE151" s="644" t="s">
        <v>645</v>
      </c>
      <c r="BF151" s="647" t="s">
        <v>1628</v>
      </c>
      <c r="BG151" s="650"/>
    </row>
    <row r="152" spans="1:59">
      <c r="A152" s="636"/>
      <c r="B152" s="639"/>
      <c r="C152" s="642"/>
      <c r="D152" s="654"/>
      <c r="E152" s="572"/>
      <c r="F152" s="654"/>
      <c r="G152" s="329"/>
      <c r="H152" s="337"/>
      <c r="I152" s="337"/>
      <c r="J152" s="572"/>
      <c r="K152" s="565"/>
      <c r="L152" s="573"/>
      <c r="M152" s="565"/>
      <c r="N152" s="565"/>
      <c r="O152" s="354"/>
      <c r="P152" s="330"/>
      <c r="Q152" s="350"/>
      <c r="R152" s="332"/>
      <c r="S152" s="333" t="str">
        <f t="shared" si="238"/>
        <v>0</v>
      </c>
      <c r="T152" s="332"/>
      <c r="U152" s="333" t="str">
        <f t="shared" si="239"/>
        <v>0</v>
      </c>
      <c r="V152" s="332"/>
      <c r="W152" s="333" t="str">
        <f t="shared" si="240"/>
        <v>0</v>
      </c>
      <c r="X152" s="332"/>
      <c r="Y152" s="333" t="str">
        <f t="shared" si="241"/>
        <v>0</v>
      </c>
      <c r="Z152" s="332"/>
      <c r="AA152" s="333" t="str">
        <f t="shared" si="242"/>
        <v>0</v>
      </c>
      <c r="AB152" s="332"/>
      <c r="AC152" s="333" t="str">
        <f t="shared" si="243"/>
        <v>0</v>
      </c>
      <c r="AD152" s="332"/>
      <c r="AE152" s="333" t="str">
        <f t="shared" si="244"/>
        <v>0</v>
      </c>
      <c r="AF152" s="334" t="str">
        <f t="shared" si="245"/>
        <v/>
      </c>
      <c r="AG152" s="334" t="str">
        <f t="shared" si="246"/>
        <v/>
      </c>
      <c r="AH152" s="335"/>
      <c r="AI152" s="334" t="str">
        <f t="shared" si="247"/>
        <v/>
      </c>
      <c r="AJ152" s="334" t="str">
        <f>IFERROR(VLOOKUP((CONCATENATE(AG152,AI152)),Listados!$U$3:$V$11,2,FALSE),"")</f>
        <v/>
      </c>
      <c r="AK152" s="334" t="str">
        <f t="shared" si="248"/>
        <v/>
      </c>
      <c r="AL152" s="558"/>
      <c r="AM152" s="558"/>
      <c r="AN152" s="558"/>
      <c r="AO152" s="558"/>
      <c r="AP152" s="567"/>
      <c r="AQ152" s="567"/>
      <c r="AR152" s="565"/>
      <c r="AS152" s="565"/>
      <c r="AT152" s="565"/>
      <c r="AU152" s="565"/>
      <c r="AV152" s="336"/>
      <c r="AW152" s="336"/>
      <c r="AX152" s="339"/>
      <c r="AY152" s="361"/>
      <c r="AZ152" s="336"/>
      <c r="BA152" s="336"/>
      <c r="BB152" s="336"/>
      <c r="BC152" s="787"/>
      <c r="BD152" s="790"/>
      <c r="BE152" s="645"/>
      <c r="BF152" s="648"/>
      <c r="BG152" s="651"/>
    </row>
    <row r="153" spans="1:59">
      <c r="A153" s="636"/>
      <c r="B153" s="639"/>
      <c r="C153" s="642"/>
      <c r="D153" s="654"/>
      <c r="E153" s="572"/>
      <c r="F153" s="654"/>
      <c r="G153" s="329"/>
      <c r="H153" s="337"/>
      <c r="I153" s="337"/>
      <c r="J153" s="572"/>
      <c r="K153" s="565"/>
      <c r="L153" s="573"/>
      <c r="M153" s="565"/>
      <c r="N153" s="565"/>
      <c r="O153" s="347"/>
      <c r="P153" s="338"/>
      <c r="Q153" s="348"/>
      <c r="R153" s="332"/>
      <c r="S153" s="333" t="str">
        <f t="shared" si="238"/>
        <v>0</v>
      </c>
      <c r="T153" s="332"/>
      <c r="U153" s="333" t="str">
        <f t="shared" si="239"/>
        <v>0</v>
      </c>
      <c r="V153" s="332"/>
      <c r="W153" s="333" t="str">
        <f t="shared" si="240"/>
        <v>0</v>
      </c>
      <c r="X153" s="332"/>
      <c r="Y153" s="333" t="str">
        <f t="shared" si="241"/>
        <v>0</v>
      </c>
      <c r="Z153" s="332"/>
      <c r="AA153" s="333" t="str">
        <f t="shared" si="242"/>
        <v>0</v>
      </c>
      <c r="AB153" s="332"/>
      <c r="AC153" s="333" t="str">
        <f t="shared" si="243"/>
        <v>0</v>
      </c>
      <c r="AD153" s="332"/>
      <c r="AE153" s="333" t="str">
        <f t="shared" si="244"/>
        <v>0</v>
      </c>
      <c r="AF153" s="334" t="str">
        <f t="shared" si="245"/>
        <v/>
      </c>
      <c r="AG153" s="334" t="str">
        <f t="shared" si="246"/>
        <v/>
      </c>
      <c r="AH153" s="335"/>
      <c r="AI153" s="334" t="str">
        <f t="shared" si="247"/>
        <v/>
      </c>
      <c r="AJ153" s="334" t="str">
        <f>IFERROR(VLOOKUP((CONCATENATE(AG153,AI153)),Listados!$U$3:$V$11,2,FALSE),"")</f>
        <v/>
      </c>
      <c r="AK153" s="334" t="str">
        <f t="shared" si="248"/>
        <v/>
      </c>
      <c r="AL153" s="558"/>
      <c r="AM153" s="558"/>
      <c r="AN153" s="558"/>
      <c r="AO153" s="558"/>
      <c r="AP153" s="567"/>
      <c r="AQ153" s="567"/>
      <c r="AR153" s="565"/>
      <c r="AS153" s="565"/>
      <c r="AT153" s="565"/>
      <c r="AU153" s="565"/>
      <c r="AV153" s="336"/>
      <c r="AW153" s="336"/>
      <c r="AX153" s="339"/>
      <c r="AY153" s="361"/>
      <c r="AZ153" s="336"/>
      <c r="BA153" s="336"/>
      <c r="BB153" s="336"/>
      <c r="BC153" s="787"/>
      <c r="BD153" s="790"/>
      <c r="BE153" s="645"/>
      <c r="BF153" s="648"/>
      <c r="BG153" s="651"/>
    </row>
    <row r="154" spans="1:59" ht="15.75" thickBot="1">
      <c r="A154" s="697"/>
      <c r="B154" s="695"/>
      <c r="C154" s="722"/>
      <c r="D154" s="591"/>
      <c r="E154" s="548"/>
      <c r="F154" s="591"/>
      <c r="G154" s="221"/>
      <c r="H154" s="228"/>
      <c r="I154" s="228"/>
      <c r="J154" s="548"/>
      <c r="K154" s="556"/>
      <c r="L154" s="554"/>
      <c r="M154" s="556"/>
      <c r="N154" s="556"/>
      <c r="O154" s="229"/>
      <c r="P154" s="233"/>
      <c r="Q154" s="230"/>
      <c r="R154" s="223"/>
      <c r="S154" s="224" t="str">
        <f t="shared" si="238"/>
        <v>0</v>
      </c>
      <c r="T154" s="223"/>
      <c r="U154" s="224" t="str">
        <f t="shared" si="239"/>
        <v>0</v>
      </c>
      <c r="V154" s="223"/>
      <c r="W154" s="224" t="str">
        <f t="shared" si="240"/>
        <v>0</v>
      </c>
      <c r="X154" s="223"/>
      <c r="Y154" s="224" t="str">
        <f t="shared" si="241"/>
        <v>0</v>
      </c>
      <c r="Z154" s="223"/>
      <c r="AA154" s="224" t="str">
        <f t="shared" si="242"/>
        <v>0</v>
      </c>
      <c r="AB154" s="223"/>
      <c r="AC154" s="224" t="str">
        <f t="shared" si="243"/>
        <v>0</v>
      </c>
      <c r="AD154" s="223"/>
      <c r="AE154" s="224" t="str">
        <f t="shared" si="244"/>
        <v>0</v>
      </c>
      <c r="AF154" s="225" t="str">
        <f t="shared" si="245"/>
        <v/>
      </c>
      <c r="AG154" s="225" t="str">
        <f t="shared" si="246"/>
        <v/>
      </c>
      <c r="AH154" s="226"/>
      <c r="AI154" s="225" t="str">
        <f t="shared" si="247"/>
        <v/>
      </c>
      <c r="AJ154" s="225" t="str">
        <f>IFERROR(VLOOKUP((CONCATENATE(AG154,AI154)),Listados!$U$3:$V$11,2,FALSE),"")</f>
        <v/>
      </c>
      <c r="AK154" s="225" t="str">
        <f t="shared" si="248"/>
        <v/>
      </c>
      <c r="AL154" s="563"/>
      <c r="AM154" s="563"/>
      <c r="AN154" s="563"/>
      <c r="AO154" s="563"/>
      <c r="AP154" s="567"/>
      <c r="AQ154" s="567"/>
      <c r="AR154" s="556"/>
      <c r="AS154" s="556"/>
      <c r="AT154" s="556"/>
      <c r="AU154" s="556"/>
      <c r="AV154" s="231"/>
      <c r="AW154" s="231"/>
      <c r="AX154" s="232"/>
      <c r="AY154" s="238"/>
      <c r="AZ154" s="231"/>
      <c r="BA154" s="231"/>
      <c r="BB154" s="231"/>
      <c r="BC154" s="787"/>
      <c r="BD154" s="790"/>
      <c r="BE154" s="645"/>
      <c r="BF154" s="648"/>
      <c r="BG154" s="651"/>
    </row>
    <row r="155" spans="1:59" ht="132" customHeight="1">
      <c r="A155" s="635">
        <v>37</v>
      </c>
      <c r="B155" s="638" t="s">
        <v>646</v>
      </c>
      <c r="C155" s="641" t="s">
        <v>647</v>
      </c>
      <c r="D155" s="728" t="s">
        <v>1598</v>
      </c>
      <c r="E155" s="584" t="s">
        <v>278</v>
      </c>
      <c r="F155" s="728" t="s">
        <v>65</v>
      </c>
      <c r="G155" s="541" t="s">
        <v>648</v>
      </c>
      <c r="H155" s="91" t="s">
        <v>649</v>
      </c>
      <c r="I155" s="476" t="s">
        <v>650</v>
      </c>
      <c r="J155" s="584" t="s">
        <v>88</v>
      </c>
      <c r="K155" s="569">
        <f>+VLOOKUP(J155,Listados!$K$8:$L$12,2,0)</f>
        <v>3</v>
      </c>
      <c r="L155" s="585" t="s">
        <v>107</v>
      </c>
      <c r="M155" s="569">
        <f>+VLOOKUP(L155,Listados!$K$13:$L$17,2,0)</f>
        <v>5</v>
      </c>
      <c r="N155" s="569" t="str">
        <f>IF(AND(J155&lt;&gt;"",L155&lt;&gt;""),VLOOKUP(J155&amp;L155,Listados!$M$3:$N$27,2,FALSE),"")</f>
        <v>Extremo</v>
      </c>
      <c r="O155" s="482" t="s">
        <v>651</v>
      </c>
      <c r="P155" s="479" t="s">
        <v>652</v>
      </c>
      <c r="Q155" s="130" t="s">
        <v>83</v>
      </c>
      <c r="R155" s="94" t="s">
        <v>73</v>
      </c>
      <c r="S155" s="93">
        <f t="shared" si="238"/>
        <v>15</v>
      </c>
      <c r="T155" s="94" t="s">
        <v>73</v>
      </c>
      <c r="U155" s="93">
        <f t="shared" si="239"/>
        <v>15</v>
      </c>
      <c r="V155" s="94" t="s">
        <v>73</v>
      </c>
      <c r="W155" s="93">
        <f t="shared" si="240"/>
        <v>15</v>
      </c>
      <c r="X155" s="94" t="s">
        <v>83</v>
      </c>
      <c r="Y155" s="93">
        <f t="shared" si="241"/>
        <v>10</v>
      </c>
      <c r="Z155" s="94" t="s">
        <v>73</v>
      </c>
      <c r="AA155" s="93">
        <f t="shared" si="242"/>
        <v>15</v>
      </c>
      <c r="AB155" s="94" t="s">
        <v>73</v>
      </c>
      <c r="AC155" s="93">
        <f t="shared" si="243"/>
        <v>15</v>
      </c>
      <c r="AD155" s="94" t="s">
        <v>74</v>
      </c>
      <c r="AE155" s="93">
        <f t="shared" si="244"/>
        <v>10</v>
      </c>
      <c r="AF155" s="96">
        <f t="shared" si="245"/>
        <v>95</v>
      </c>
      <c r="AG155" s="96" t="str">
        <f t="shared" si="246"/>
        <v>Moderado</v>
      </c>
      <c r="AH155" s="107" t="s">
        <v>75</v>
      </c>
      <c r="AI155" s="96" t="str">
        <f t="shared" si="247"/>
        <v>Fuerte</v>
      </c>
      <c r="AJ155" s="96" t="str">
        <f>IFERROR(VLOOKUP((CONCATENATE(AG155,AI155)),Listados!$U$3:$V$11,2,FALSE),"")</f>
        <v>Moderado</v>
      </c>
      <c r="AK155" s="96">
        <f t="shared" si="248"/>
        <v>50</v>
      </c>
      <c r="AL155" s="559">
        <f t="shared" ref="AL155" si="267">AVERAGE(AK155:AK158)</f>
        <v>66.666666666666671</v>
      </c>
      <c r="AM155" s="559" t="str">
        <f t="shared" ref="AM155" si="268">IF(AL155&lt;=50,"Débil",IF(AL155&lt;=99,"Moderado",IF(AL155=100,"fuerte","")))</f>
        <v>Moderado</v>
      </c>
      <c r="AN155" s="559">
        <f t="shared" ref="AN155" si="269">+IF(AND(Q155="Preventivo",AM155="Fuerte"),2,IF(AND(Q155="Preventivo",AM155="Moderado"),1,0))</f>
        <v>0</v>
      </c>
      <c r="AO155" s="559">
        <f t="shared" ref="AO155" si="270">+IF(AND(Q155="Detectivo",$AM155="Fuerte"),2,IF(AND(Q155="Detectivo",$AM155="Moderado"),1,IF(AND(Q155="Preventivo",$AM155="Fuerte"),1,0)))</f>
        <v>1</v>
      </c>
      <c r="AP155" s="566">
        <f t="shared" ref="AP155" si="271">+K155-AN155</f>
        <v>3</v>
      </c>
      <c r="AQ155" s="566">
        <f t="shared" ref="AQ155" si="272">+M155-AO155</f>
        <v>4</v>
      </c>
      <c r="AR155" s="569" t="str">
        <f>+VLOOKUP(MIN(AP155),Listados!$J$18:$K$24,2,TRUE)</f>
        <v>Posible</v>
      </c>
      <c r="AS155" s="569" t="str">
        <f>+VLOOKUP(MIN(AQ155),Listados!$J$26:$K$32,2,TRUE)</f>
        <v>Mayor</v>
      </c>
      <c r="AT155" s="569" t="str">
        <f>IF(AND(AR155&lt;&gt;"",AS155&lt;&gt;""),VLOOKUP(AR155&amp;AS155,Listados!$M$3:$N$27,2,FALSE),"")</f>
        <v>Extremo</v>
      </c>
      <c r="AU155" s="569" t="str">
        <f>+VLOOKUP(AT155,Listados!$P$3:$Q$6,2,FALSE)</f>
        <v>Reducir el riesgo</v>
      </c>
      <c r="AV155" s="120" t="s">
        <v>653</v>
      </c>
      <c r="AW155" s="194" t="s">
        <v>654</v>
      </c>
      <c r="AX155" s="195">
        <v>45658</v>
      </c>
      <c r="AY155" s="195">
        <v>46022</v>
      </c>
      <c r="AZ155" s="194" t="s">
        <v>655</v>
      </c>
      <c r="BA155" s="194" t="s">
        <v>656</v>
      </c>
      <c r="BB155" s="120" t="s">
        <v>657</v>
      </c>
      <c r="BC155" s="534" t="s">
        <v>658</v>
      </c>
      <c r="BD155" s="789"/>
      <c r="BE155" s="647" t="s">
        <v>659</v>
      </c>
      <c r="BF155" s="647" t="s">
        <v>1629</v>
      </c>
      <c r="BG155" s="650"/>
    </row>
    <row r="156" spans="1:59" ht="127.5" customHeight="1">
      <c r="A156" s="636"/>
      <c r="B156" s="639"/>
      <c r="C156" s="642"/>
      <c r="D156" s="729"/>
      <c r="E156" s="572"/>
      <c r="F156" s="729"/>
      <c r="G156" s="542" t="s">
        <v>660</v>
      </c>
      <c r="H156" s="328" t="s">
        <v>649</v>
      </c>
      <c r="I156" s="476" t="s">
        <v>661</v>
      </c>
      <c r="J156" s="572"/>
      <c r="K156" s="565"/>
      <c r="L156" s="573"/>
      <c r="M156" s="565"/>
      <c r="N156" s="565"/>
      <c r="O156" s="481" t="s">
        <v>662</v>
      </c>
      <c r="P156" s="478" t="s">
        <v>663</v>
      </c>
      <c r="Q156" s="350" t="s">
        <v>72</v>
      </c>
      <c r="R156" s="332" t="s">
        <v>73</v>
      </c>
      <c r="S156" s="333">
        <f t="shared" si="238"/>
        <v>15</v>
      </c>
      <c r="T156" s="332" t="s">
        <v>73</v>
      </c>
      <c r="U156" s="333">
        <f t="shared" si="239"/>
        <v>15</v>
      </c>
      <c r="V156" s="332" t="s">
        <v>73</v>
      </c>
      <c r="W156" s="333">
        <f t="shared" si="240"/>
        <v>15</v>
      </c>
      <c r="X156" s="332" t="s">
        <v>72</v>
      </c>
      <c r="Y156" s="333">
        <f t="shared" si="241"/>
        <v>15</v>
      </c>
      <c r="Z156" s="332" t="s">
        <v>73</v>
      </c>
      <c r="AA156" s="333">
        <f t="shared" si="242"/>
        <v>15</v>
      </c>
      <c r="AB156" s="332" t="s">
        <v>73</v>
      </c>
      <c r="AC156" s="333">
        <f t="shared" si="243"/>
        <v>15</v>
      </c>
      <c r="AD156" s="332" t="s">
        <v>74</v>
      </c>
      <c r="AE156" s="333">
        <f t="shared" si="244"/>
        <v>10</v>
      </c>
      <c r="AF156" s="334">
        <f t="shared" si="245"/>
        <v>100</v>
      </c>
      <c r="AG156" s="334" t="str">
        <f t="shared" si="246"/>
        <v>Fuerte</v>
      </c>
      <c r="AH156" s="335" t="s">
        <v>75</v>
      </c>
      <c r="AI156" s="334" t="str">
        <f t="shared" si="247"/>
        <v>Fuerte</v>
      </c>
      <c r="AJ156" s="334" t="str">
        <f>IFERROR(VLOOKUP((CONCATENATE(AG156,AI156)),Listados!$U$3:$V$11,2,FALSE),"")</f>
        <v>Fuerte</v>
      </c>
      <c r="AK156" s="334">
        <f t="shared" si="248"/>
        <v>100</v>
      </c>
      <c r="AL156" s="558"/>
      <c r="AM156" s="558"/>
      <c r="AN156" s="558"/>
      <c r="AO156" s="558"/>
      <c r="AP156" s="567"/>
      <c r="AQ156" s="567"/>
      <c r="AR156" s="565"/>
      <c r="AS156" s="565"/>
      <c r="AT156" s="565"/>
      <c r="AU156" s="565"/>
      <c r="AV156" s="343" t="s">
        <v>664</v>
      </c>
      <c r="AW156" s="367" t="s">
        <v>654</v>
      </c>
      <c r="AX156" s="193">
        <v>45658</v>
      </c>
      <c r="AY156" s="193">
        <v>46022</v>
      </c>
      <c r="AZ156" s="367" t="s">
        <v>655</v>
      </c>
      <c r="BA156" s="367" t="s">
        <v>665</v>
      </c>
      <c r="BB156" s="343" t="s">
        <v>666</v>
      </c>
      <c r="BC156" s="534" t="s">
        <v>667</v>
      </c>
      <c r="BD156" s="790"/>
      <c r="BE156" s="648"/>
      <c r="BF156" s="648"/>
      <c r="BG156" s="651"/>
    </row>
    <row r="157" spans="1:59" ht="79.5" customHeight="1">
      <c r="A157" s="636"/>
      <c r="B157" s="639"/>
      <c r="C157" s="642"/>
      <c r="D157" s="729"/>
      <c r="E157" s="572"/>
      <c r="F157" s="729"/>
      <c r="G157" s="542" t="s">
        <v>668</v>
      </c>
      <c r="H157" s="328" t="s">
        <v>649</v>
      </c>
      <c r="I157" s="476" t="s">
        <v>650</v>
      </c>
      <c r="J157" s="572"/>
      <c r="K157" s="565"/>
      <c r="L157" s="573"/>
      <c r="M157" s="565"/>
      <c r="N157" s="565"/>
      <c r="O157" s="480" t="s">
        <v>669</v>
      </c>
      <c r="P157" s="478" t="s">
        <v>670</v>
      </c>
      <c r="Q157" s="348" t="s">
        <v>83</v>
      </c>
      <c r="R157" s="332" t="s">
        <v>73</v>
      </c>
      <c r="S157" s="333">
        <f t="shared" si="238"/>
        <v>15</v>
      </c>
      <c r="T157" s="332" t="s">
        <v>73</v>
      </c>
      <c r="U157" s="333">
        <f t="shared" si="239"/>
        <v>15</v>
      </c>
      <c r="V157" s="332" t="s">
        <v>73</v>
      </c>
      <c r="W157" s="333">
        <f t="shared" si="240"/>
        <v>15</v>
      </c>
      <c r="X157" s="332" t="s">
        <v>83</v>
      </c>
      <c r="Y157" s="333">
        <f t="shared" si="241"/>
        <v>10</v>
      </c>
      <c r="Z157" s="332" t="s">
        <v>73</v>
      </c>
      <c r="AA157" s="333">
        <f t="shared" si="242"/>
        <v>15</v>
      </c>
      <c r="AB157" s="332" t="s">
        <v>73</v>
      </c>
      <c r="AC157" s="333">
        <f t="shared" si="243"/>
        <v>15</v>
      </c>
      <c r="AD157" s="332" t="s">
        <v>74</v>
      </c>
      <c r="AE157" s="333">
        <f t="shared" si="244"/>
        <v>10</v>
      </c>
      <c r="AF157" s="334">
        <f t="shared" si="245"/>
        <v>95</v>
      </c>
      <c r="AG157" s="334" t="str">
        <f t="shared" si="246"/>
        <v>Moderado</v>
      </c>
      <c r="AH157" s="335" t="s">
        <v>75</v>
      </c>
      <c r="AI157" s="334" t="str">
        <f t="shared" si="247"/>
        <v>Fuerte</v>
      </c>
      <c r="AJ157" s="334" t="str">
        <f>IFERROR(VLOOKUP((CONCATENATE(AG157,AI157)),Listados!$U$3:$V$11,2,FALSE),"")</f>
        <v>Moderado</v>
      </c>
      <c r="AK157" s="334">
        <f t="shared" si="248"/>
        <v>50</v>
      </c>
      <c r="AL157" s="558"/>
      <c r="AM157" s="558"/>
      <c r="AN157" s="558"/>
      <c r="AO157" s="558"/>
      <c r="AP157" s="567"/>
      <c r="AQ157" s="567"/>
      <c r="AR157" s="565"/>
      <c r="AS157" s="565"/>
      <c r="AT157" s="565"/>
      <c r="AU157" s="565"/>
      <c r="AV157" s="343" t="s">
        <v>671</v>
      </c>
      <c r="AW157" s="367" t="s">
        <v>654</v>
      </c>
      <c r="AX157" s="368">
        <v>45658</v>
      </c>
      <c r="AY157" s="368">
        <v>46022</v>
      </c>
      <c r="AZ157" s="367" t="s">
        <v>655</v>
      </c>
      <c r="BA157" s="367" t="s">
        <v>656</v>
      </c>
      <c r="BB157" s="343" t="s">
        <v>672</v>
      </c>
      <c r="BC157" s="534" t="s">
        <v>672</v>
      </c>
      <c r="BD157" s="790"/>
      <c r="BE157" s="648"/>
      <c r="BF157" s="648"/>
      <c r="BG157" s="651"/>
    </row>
    <row r="158" spans="1:59" ht="15" customHeight="1" thickBot="1">
      <c r="A158" s="637"/>
      <c r="B158" s="640"/>
      <c r="C158" s="643"/>
      <c r="D158" s="730"/>
      <c r="E158" s="586"/>
      <c r="F158" s="730"/>
      <c r="G158" s="256"/>
      <c r="H158" s="257"/>
      <c r="I158" s="257"/>
      <c r="J158" s="586"/>
      <c r="K158" s="570"/>
      <c r="L158" s="587"/>
      <c r="M158" s="570"/>
      <c r="N158" s="570"/>
      <c r="O158" s="258"/>
      <c r="P158" s="146"/>
      <c r="Q158" s="269"/>
      <c r="R158" s="260"/>
      <c r="S158" s="261" t="str">
        <f t="shared" si="238"/>
        <v>0</v>
      </c>
      <c r="T158" s="260"/>
      <c r="U158" s="261" t="str">
        <f t="shared" si="239"/>
        <v>0</v>
      </c>
      <c r="V158" s="260"/>
      <c r="W158" s="261" t="str">
        <f t="shared" si="240"/>
        <v>0</v>
      </c>
      <c r="X158" s="260"/>
      <c r="Y158" s="261" t="str">
        <f t="shared" si="241"/>
        <v>0</v>
      </c>
      <c r="Z158" s="260"/>
      <c r="AA158" s="261" t="str">
        <f t="shared" si="242"/>
        <v>0</v>
      </c>
      <c r="AB158" s="260"/>
      <c r="AC158" s="261" t="str">
        <f t="shared" si="243"/>
        <v>0</v>
      </c>
      <c r="AD158" s="260"/>
      <c r="AE158" s="261" t="str">
        <f t="shared" si="244"/>
        <v>0</v>
      </c>
      <c r="AF158" s="262" t="str">
        <f t="shared" si="245"/>
        <v/>
      </c>
      <c r="AG158" s="262" t="str">
        <f t="shared" si="246"/>
        <v/>
      </c>
      <c r="AH158" s="263"/>
      <c r="AI158" s="262" t="str">
        <f t="shared" si="247"/>
        <v/>
      </c>
      <c r="AJ158" s="262" t="str">
        <f>IFERROR(VLOOKUP((CONCATENATE(AG158,AI158)),Listados!$U$3:$V$11,2,FALSE),"")</f>
        <v/>
      </c>
      <c r="AK158" s="262" t="str">
        <f t="shared" si="248"/>
        <v/>
      </c>
      <c r="AL158" s="560"/>
      <c r="AM158" s="560"/>
      <c r="AN158" s="560"/>
      <c r="AO158" s="560"/>
      <c r="AP158" s="568"/>
      <c r="AQ158" s="568"/>
      <c r="AR158" s="570"/>
      <c r="AS158" s="570"/>
      <c r="AT158" s="570"/>
      <c r="AU158" s="570"/>
      <c r="AV158" s="249"/>
      <c r="AW158" s="249"/>
      <c r="AX158" s="250"/>
      <c r="AY158" s="250"/>
      <c r="AZ158" s="249"/>
      <c r="BA158" s="249"/>
      <c r="BB158" s="169"/>
      <c r="BC158" s="166"/>
      <c r="BD158" s="791"/>
      <c r="BE158" s="649"/>
      <c r="BF158" s="649"/>
      <c r="BG158" s="652"/>
    </row>
    <row r="159" spans="1:59" ht="108" customHeight="1" thickBot="1">
      <c r="A159" s="635">
        <v>38</v>
      </c>
      <c r="B159" s="638" t="s">
        <v>646</v>
      </c>
      <c r="C159" s="725" t="s">
        <v>647</v>
      </c>
      <c r="D159" s="728" t="s">
        <v>673</v>
      </c>
      <c r="E159" s="584" t="s">
        <v>674</v>
      </c>
      <c r="F159" s="653" t="s">
        <v>65</v>
      </c>
      <c r="G159" s="482" t="s">
        <v>675</v>
      </c>
      <c r="H159" s="91" t="s">
        <v>649</v>
      </c>
      <c r="I159" s="482" t="s">
        <v>676</v>
      </c>
      <c r="J159" s="584" t="s">
        <v>412</v>
      </c>
      <c r="K159" s="569">
        <f>+VLOOKUP(J159,Listados!$K$8:$L$12,2,0)</f>
        <v>1</v>
      </c>
      <c r="L159" s="585" t="s">
        <v>326</v>
      </c>
      <c r="M159" s="569">
        <f>+VLOOKUP(L159,Listados!$K$13:$L$17,2,0)</f>
        <v>4</v>
      </c>
      <c r="N159" s="569" t="str">
        <f>IF(AND(J159&lt;&gt;"",L159&lt;&gt;""),VLOOKUP(J159&amp;L159,Listados!$M$3:$N$27,2,FALSE),"")</f>
        <v>Alto</v>
      </c>
      <c r="O159" s="485" t="s">
        <v>677</v>
      </c>
      <c r="P159" s="487" t="s">
        <v>675</v>
      </c>
      <c r="Q159" s="130" t="s">
        <v>72</v>
      </c>
      <c r="R159" s="94" t="s">
        <v>73</v>
      </c>
      <c r="S159" s="93">
        <f t="shared" si="238"/>
        <v>15</v>
      </c>
      <c r="T159" s="94" t="s">
        <v>73</v>
      </c>
      <c r="U159" s="93">
        <f t="shared" si="239"/>
        <v>15</v>
      </c>
      <c r="V159" s="94" t="s">
        <v>73</v>
      </c>
      <c r="W159" s="93">
        <f t="shared" si="240"/>
        <v>15</v>
      </c>
      <c r="X159" s="94" t="s">
        <v>72</v>
      </c>
      <c r="Y159" s="93">
        <f t="shared" si="241"/>
        <v>15</v>
      </c>
      <c r="Z159" s="94" t="s">
        <v>73</v>
      </c>
      <c r="AA159" s="93">
        <f t="shared" si="242"/>
        <v>15</v>
      </c>
      <c r="AB159" s="94" t="s">
        <v>73</v>
      </c>
      <c r="AC159" s="93">
        <f t="shared" si="243"/>
        <v>15</v>
      </c>
      <c r="AD159" s="94" t="s">
        <v>74</v>
      </c>
      <c r="AE159" s="93">
        <f t="shared" si="244"/>
        <v>10</v>
      </c>
      <c r="AF159" s="96">
        <f t="shared" si="245"/>
        <v>100</v>
      </c>
      <c r="AG159" s="96" t="str">
        <f t="shared" si="246"/>
        <v>Fuerte</v>
      </c>
      <c r="AH159" s="107" t="s">
        <v>75</v>
      </c>
      <c r="AI159" s="96" t="str">
        <f t="shared" si="247"/>
        <v>Fuerte</v>
      </c>
      <c r="AJ159" s="96" t="str">
        <f>IFERROR(VLOOKUP((CONCATENATE(AG159,AI159)),Listados!$U$3:$V$11,2,FALSE),"")</f>
        <v>Fuerte</v>
      </c>
      <c r="AK159" s="96">
        <f t="shared" si="248"/>
        <v>100</v>
      </c>
      <c r="AL159" s="559">
        <f t="shared" ref="AL159" si="273">AVERAGE(AK159:AK162)</f>
        <v>100</v>
      </c>
      <c r="AM159" s="559" t="str">
        <f t="shared" ref="AM159" si="274">IF(AL159&lt;=50,"Débil",IF(AL159&lt;=99,"Moderado",IF(AL159=100,"fuerte","")))</f>
        <v>fuerte</v>
      </c>
      <c r="AN159" s="559">
        <f t="shared" ref="AN159" si="275">+IF(AND(Q159="Preventivo",AM159="Fuerte"),2,IF(AND(Q159="Preventivo",AM159="Moderado"),1,0))</f>
        <v>2</v>
      </c>
      <c r="AO159" s="559">
        <f t="shared" ref="AO159" si="276">+IF(AND(Q159="Detectivo",$AM159="Fuerte"),2,IF(AND(Q159="Detectivo",$AM159="Moderado"),1,IF(AND(Q159="Preventivo",$AM159="Fuerte"),1,0)))</f>
        <v>1</v>
      </c>
      <c r="AP159" s="566">
        <f t="shared" ref="AP159" si="277">+K159-AN159</f>
        <v>-1</v>
      </c>
      <c r="AQ159" s="566">
        <f t="shared" ref="AQ159" si="278">+M159-AO159</f>
        <v>3</v>
      </c>
      <c r="AR159" s="569" t="str">
        <f>+VLOOKUP(MIN(AP159),Listados!$J$18:$K$24,2,TRUE)</f>
        <v>Rara Vez</v>
      </c>
      <c r="AS159" s="569" t="str">
        <f>+VLOOKUP(MIN(AQ159),Listados!$J$26:$K$32,2,TRUE)</f>
        <v>Moderado</v>
      </c>
      <c r="AT159" s="569" t="str">
        <f>IF(AND(AR159&lt;&gt;"",AS159&lt;&gt;""),VLOOKUP(AR159&amp;AS159,Listados!$M$3:$N$27,2,FALSE),"")</f>
        <v>Moderado</v>
      </c>
      <c r="AU159" s="569" t="str">
        <f>+VLOOKUP(AT159,Listados!$P$3:$Q$6,2,FALSE)</f>
        <v>Asumir el riesgo</v>
      </c>
      <c r="AV159" s="97" t="s">
        <v>678</v>
      </c>
      <c r="AW159" s="202" t="s">
        <v>654</v>
      </c>
      <c r="AX159" s="203">
        <v>45658</v>
      </c>
      <c r="AY159" s="203">
        <v>46022</v>
      </c>
      <c r="AZ159" s="204" t="s">
        <v>679</v>
      </c>
      <c r="BA159" s="120" t="s">
        <v>680</v>
      </c>
      <c r="BB159" s="786" t="s">
        <v>681</v>
      </c>
      <c r="BC159" s="534" t="s">
        <v>682</v>
      </c>
      <c r="BD159" s="789"/>
      <c r="BE159" s="644" t="s">
        <v>683</v>
      </c>
      <c r="BF159" s="647" t="s">
        <v>1630</v>
      </c>
      <c r="BG159" s="650"/>
    </row>
    <row r="160" spans="1:59" ht="85.5" customHeight="1" thickBot="1">
      <c r="A160" s="636"/>
      <c r="B160" s="639"/>
      <c r="C160" s="726"/>
      <c r="D160" s="729"/>
      <c r="E160" s="572"/>
      <c r="F160" s="654"/>
      <c r="G160" s="477" t="s">
        <v>684</v>
      </c>
      <c r="H160" s="328" t="s">
        <v>649</v>
      </c>
      <c r="I160" s="482" t="s">
        <v>676</v>
      </c>
      <c r="J160" s="572"/>
      <c r="K160" s="565"/>
      <c r="L160" s="573"/>
      <c r="M160" s="565"/>
      <c r="N160" s="565"/>
      <c r="O160" s="486" t="s">
        <v>685</v>
      </c>
      <c r="P160" s="488" t="s">
        <v>684</v>
      </c>
      <c r="Q160" s="350" t="s">
        <v>72</v>
      </c>
      <c r="R160" s="332" t="s">
        <v>73</v>
      </c>
      <c r="S160" s="333">
        <f t="shared" si="238"/>
        <v>15</v>
      </c>
      <c r="T160" s="332" t="s">
        <v>73</v>
      </c>
      <c r="U160" s="333">
        <f t="shared" si="239"/>
        <v>15</v>
      </c>
      <c r="V160" s="332" t="s">
        <v>73</v>
      </c>
      <c r="W160" s="333">
        <f t="shared" si="240"/>
        <v>15</v>
      </c>
      <c r="X160" s="332" t="s">
        <v>72</v>
      </c>
      <c r="Y160" s="333">
        <f t="shared" si="241"/>
        <v>15</v>
      </c>
      <c r="Z160" s="332" t="s">
        <v>73</v>
      </c>
      <c r="AA160" s="333">
        <f t="shared" si="242"/>
        <v>15</v>
      </c>
      <c r="AB160" s="332" t="s">
        <v>73</v>
      </c>
      <c r="AC160" s="333">
        <f t="shared" si="243"/>
        <v>15</v>
      </c>
      <c r="AD160" s="332" t="s">
        <v>74</v>
      </c>
      <c r="AE160" s="333">
        <f t="shared" si="244"/>
        <v>10</v>
      </c>
      <c r="AF160" s="334">
        <f t="shared" si="245"/>
        <v>100</v>
      </c>
      <c r="AG160" s="334" t="str">
        <f t="shared" si="246"/>
        <v>Fuerte</v>
      </c>
      <c r="AH160" s="335" t="s">
        <v>75</v>
      </c>
      <c r="AI160" s="334" t="str">
        <f t="shared" si="247"/>
        <v>Fuerte</v>
      </c>
      <c r="AJ160" s="334" t="str">
        <f>IFERROR(VLOOKUP((CONCATENATE(AG160,AI160)),Listados!$U$3:$V$11,2,FALSE),"")</f>
        <v>Fuerte</v>
      </c>
      <c r="AK160" s="334">
        <f t="shared" si="248"/>
        <v>100</v>
      </c>
      <c r="AL160" s="558"/>
      <c r="AM160" s="558"/>
      <c r="AN160" s="558"/>
      <c r="AO160" s="558"/>
      <c r="AP160" s="567"/>
      <c r="AQ160" s="567"/>
      <c r="AR160" s="565"/>
      <c r="AS160" s="565"/>
      <c r="AT160" s="565"/>
      <c r="AU160" s="565"/>
      <c r="AV160" s="489" t="s">
        <v>686</v>
      </c>
      <c r="AW160" s="200" t="s">
        <v>654</v>
      </c>
      <c r="AX160" s="201">
        <v>45658</v>
      </c>
      <c r="AY160" s="201">
        <v>46022</v>
      </c>
      <c r="AZ160" s="369" t="s">
        <v>679</v>
      </c>
      <c r="BA160" s="343" t="s">
        <v>687</v>
      </c>
      <c r="BB160" s="787"/>
      <c r="BC160" s="534" t="s">
        <v>688</v>
      </c>
      <c r="BD160" s="790"/>
      <c r="BE160" s="645"/>
      <c r="BF160" s="648"/>
      <c r="BG160" s="651"/>
    </row>
    <row r="161" spans="1:59" ht="110.25" customHeight="1" thickBot="1">
      <c r="A161" s="636"/>
      <c r="B161" s="639"/>
      <c r="C161" s="726"/>
      <c r="D161" s="729"/>
      <c r="E161" s="572"/>
      <c r="F161" s="654"/>
      <c r="G161" s="543" t="s">
        <v>689</v>
      </c>
      <c r="H161" s="337" t="s">
        <v>67</v>
      </c>
      <c r="I161" s="483" t="s">
        <v>690</v>
      </c>
      <c r="J161" s="572"/>
      <c r="K161" s="565"/>
      <c r="L161" s="573"/>
      <c r="M161" s="565"/>
      <c r="N161" s="565"/>
      <c r="O161" s="482" t="s">
        <v>691</v>
      </c>
      <c r="P161" s="487" t="s">
        <v>692</v>
      </c>
      <c r="Q161" s="348" t="s">
        <v>72</v>
      </c>
      <c r="R161" s="332" t="s">
        <v>73</v>
      </c>
      <c r="S161" s="333">
        <f t="shared" si="238"/>
        <v>15</v>
      </c>
      <c r="T161" s="332" t="s">
        <v>73</v>
      </c>
      <c r="U161" s="333">
        <f t="shared" si="239"/>
        <v>15</v>
      </c>
      <c r="V161" s="332" t="s">
        <v>73</v>
      </c>
      <c r="W161" s="333">
        <f t="shared" si="240"/>
        <v>15</v>
      </c>
      <c r="X161" s="332" t="s">
        <v>72</v>
      </c>
      <c r="Y161" s="333">
        <f t="shared" si="241"/>
        <v>15</v>
      </c>
      <c r="Z161" s="332" t="s">
        <v>73</v>
      </c>
      <c r="AA161" s="333">
        <f t="shared" si="242"/>
        <v>15</v>
      </c>
      <c r="AB161" s="332" t="s">
        <v>73</v>
      </c>
      <c r="AC161" s="333">
        <f t="shared" si="243"/>
        <v>15</v>
      </c>
      <c r="AD161" s="332" t="s">
        <v>74</v>
      </c>
      <c r="AE161" s="333">
        <f t="shared" si="244"/>
        <v>10</v>
      </c>
      <c r="AF161" s="334">
        <f t="shared" si="245"/>
        <v>100</v>
      </c>
      <c r="AG161" s="334" t="str">
        <f t="shared" si="246"/>
        <v>Fuerte</v>
      </c>
      <c r="AH161" s="335" t="s">
        <v>75</v>
      </c>
      <c r="AI161" s="334" t="str">
        <f t="shared" si="247"/>
        <v>Fuerte</v>
      </c>
      <c r="AJ161" s="334" t="str">
        <f>IFERROR(VLOOKUP((CONCATENATE(AG161,AI161)),Listados!$U$3:$V$11,2,FALSE),"")</f>
        <v>Fuerte</v>
      </c>
      <c r="AK161" s="334">
        <f t="shared" si="248"/>
        <v>100</v>
      </c>
      <c r="AL161" s="558"/>
      <c r="AM161" s="558"/>
      <c r="AN161" s="558"/>
      <c r="AO161" s="558"/>
      <c r="AP161" s="567"/>
      <c r="AQ161" s="567"/>
      <c r="AR161" s="565"/>
      <c r="AS161" s="565"/>
      <c r="AT161" s="565"/>
      <c r="AU161" s="565"/>
      <c r="AV161" s="545" t="s">
        <v>693</v>
      </c>
      <c r="AW161" s="200" t="s">
        <v>654</v>
      </c>
      <c r="AX161" s="201">
        <v>45658</v>
      </c>
      <c r="AY161" s="491">
        <v>46022</v>
      </c>
      <c r="AZ161" s="490" t="s">
        <v>694</v>
      </c>
      <c r="BA161" s="490" t="s">
        <v>695</v>
      </c>
      <c r="BB161" s="787"/>
      <c r="BC161" s="534" t="s">
        <v>696</v>
      </c>
      <c r="BD161" s="790"/>
      <c r="BE161" s="645"/>
      <c r="BF161" s="648"/>
      <c r="BG161" s="651"/>
    </row>
    <row r="162" spans="1:59" ht="81.75" customHeight="1" thickBot="1">
      <c r="A162" s="637"/>
      <c r="B162" s="640"/>
      <c r="C162" s="727"/>
      <c r="D162" s="730"/>
      <c r="E162" s="586"/>
      <c r="F162" s="655"/>
      <c r="G162" s="544" t="s">
        <v>697</v>
      </c>
      <c r="H162" s="257" t="s">
        <v>67</v>
      </c>
      <c r="I162" s="484" t="s">
        <v>698</v>
      </c>
      <c r="J162" s="586"/>
      <c r="K162" s="570"/>
      <c r="L162" s="587"/>
      <c r="M162" s="570"/>
      <c r="N162" s="570"/>
      <c r="O162" s="477" t="s">
        <v>699</v>
      </c>
      <c r="P162" s="488" t="s">
        <v>700</v>
      </c>
      <c r="Q162" s="269" t="s">
        <v>72</v>
      </c>
      <c r="R162" s="260" t="s">
        <v>73</v>
      </c>
      <c r="S162" s="261">
        <f t="shared" si="238"/>
        <v>15</v>
      </c>
      <c r="T162" s="260" t="s">
        <v>73</v>
      </c>
      <c r="U162" s="261">
        <f t="shared" si="239"/>
        <v>15</v>
      </c>
      <c r="V162" s="260" t="s">
        <v>73</v>
      </c>
      <c r="W162" s="261">
        <f t="shared" si="240"/>
        <v>15</v>
      </c>
      <c r="X162" s="260" t="s">
        <v>72</v>
      </c>
      <c r="Y162" s="261">
        <f t="shared" si="241"/>
        <v>15</v>
      </c>
      <c r="Z162" s="260" t="s">
        <v>73</v>
      </c>
      <c r="AA162" s="261">
        <f t="shared" si="242"/>
        <v>15</v>
      </c>
      <c r="AB162" s="260" t="s">
        <v>73</v>
      </c>
      <c r="AC162" s="261">
        <f t="shared" si="243"/>
        <v>15</v>
      </c>
      <c r="AD162" s="260" t="s">
        <v>74</v>
      </c>
      <c r="AE162" s="261">
        <f t="shared" si="244"/>
        <v>10</v>
      </c>
      <c r="AF162" s="262">
        <f t="shared" si="245"/>
        <v>100</v>
      </c>
      <c r="AG162" s="262" t="str">
        <f t="shared" si="246"/>
        <v>Fuerte</v>
      </c>
      <c r="AH162" s="263" t="s">
        <v>75</v>
      </c>
      <c r="AI162" s="262" t="str">
        <f t="shared" si="247"/>
        <v>Fuerte</v>
      </c>
      <c r="AJ162" s="262" t="str">
        <f>IFERROR(VLOOKUP((CONCATENATE(AG162,AI162)),Listados!$U$3:$V$11,2,FALSE),"")</f>
        <v>Fuerte</v>
      </c>
      <c r="AK162" s="262">
        <f t="shared" si="248"/>
        <v>100</v>
      </c>
      <c r="AL162" s="560"/>
      <c r="AM162" s="560"/>
      <c r="AN162" s="560"/>
      <c r="AO162" s="560"/>
      <c r="AP162" s="568"/>
      <c r="AQ162" s="568"/>
      <c r="AR162" s="570"/>
      <c r="AS162" s="570"/>
      <c r="AT162" s="570"/>
      <c r="AU162" s="570"/>
      <c r="AV162" s="489" t="s">
        <v>701</v>
      </c>
      <c r="AW162" s="200" t="s">
        <v>654</v>
      </c>
      <c r="AX162" s="201">
        <v>45658</v>
      </c>
      <c r="AY162" s="491">
        <v>46022</v>
      </c>
      <c r="AZ162" s="490" t="s">
        <v>694</v>
      </c>
      <c r="BA162" s="489" t="s">
        <v>702</v>
      </c>
      <c r="BB162" s="788"/>
      <c r="BC162" s="534" t="s">
        <v>703</v>
      </c>
      <c r="BD162" s="791"/>
      <c r="BE162" s="646"/>
      <c r="BF162" s="649"/>
      <c r="BG162" s="652"/>
    </row>
    <row r="163" spans="1:59" ht="125.25" customHeight="1">
      <c r="A163" s="635">
        <v>39</v>
      </c>
      <c r="B163" s="638" t="s">
        <v>704</v>
      </c>
      <c r="C163" s="691" t="s">
        <v>705</v>
      </c>
      <c r="D163" s="584" t="s">
        <v>706</v>
      </c>
      <c r="E163" s="584" t="s">
        <v>85</v>
      </c>
      <c r="F163" s="584" t="s">
        <v>65</v>
      </c>
      <c r="G163" s="92" t="s">
        <v>707</v>
      </c>
      <c r="H163" s="91" t="s">
        <v>67</v>
      </c>
      <c r="I163" s="546" t="s">
        <v>708</v>
      </c>
      <c r="J163" s="584" t="s">
        <v>180</v>
      </c>
      <c r="K163" s="569">
        <f>+VLOOKUP(J163,Listados!$K$8:$L$12,2,0)</f>
        <v>2</v>
      </c>
      <c r="L163" s="585" t="s">
        <v>89</v>
      </c>
      <c r="M163" s="569">
        <f>+VLOOKUP(L163,Listados!$K$13:$L$17,2,0)</f>
        <v>3</v>
      </c>
      <c r="N163" s="569" t="str">
        <f>IF(AND(J163&lt;&gt;"",L163&lt;&gt;""),VLOOKUP(J163&amp;L163,Listados!$M$3:$N$27,2,FALSE),"")</f>
        <v>Moderado</v>
      </c>
      <c r="O163" s="141" t="s">
        <v>709</v>
      </c>
      <c r="P163" s="179" t="s">
        <v>707</v>
      </c>
      <c r="Q163" s="130" t="s">
        <v>72</v>
      </c>
      <c r="R163" s="94" t="s">
        <v>73</v>
      </c>
      <c r="S163" s="93">
        <f t="shared" si="238"/>
        <v>15</v>
      </c>
      <c r="T163" s="94" t="s">
        <v>73</v>
      </c>
      <c r="U163" s="93">
        <f t="shared" si="239"/>
        <v>15</v>
      </c>
      <c r="V163" s="94" t="s">
        <v>73</v>
      </c>
      <c r="W163" s="93">
        <f t="shared" si="240"/>
        <v>15</v>
      </c>
      <c r="X163" s="94" t="s">
        <v>72</v>
      </c>
      <c r="Y163" s="93">
        <f t="shared" si="241"/>
        <v>15</v>
      </c>
      <c r="Z163" s="94" t="s">
        <v>73</v>
      </c>
      <c r="AA163" s="93">
        <f t="shared" si="242"/>
        <v>15</v>
      </c>
      <c r="AB163" s="94" t="s">
        <v>73</v>
      </c>
      <c r="AC163" s="93">
        <f t="shared" si="243"/>
        <v>15</v>
      </c>
      <c r="AD163" s="94" t="s">
        <v>74</v>
      </c>
      <c r="AE163" s="93">
        <f t="shared" si="244"/>
        <v>10</v>
      </c>
      <c r="AF163" s="96">
        <f t="shared" si="245"/>
        <v>100</v>
      </c>
      <c r="AG163" s="96" t="str">
        <f t="shared" si="246"/>
        <v>Fuerte</v>
      </c>
      <c r="AH163" s="107" t="s">
        <v>75</v>
      </c>
      <c r="AI163" s="96" t="str">
        <f t="shared" si="247"/>
        <v>Fuerte</v>
      </c>
      <c r="AJ163" s="96" t="str">
        <f>IFERROR(VLOOKUP((CONCATENATE(AG163,AI163)),Listados!$U$3:$V$11,2,FALSE),"")</f>
        <v>Fuerte</v>
      </c>
      <c r="AK163" s="96">
        <f t="shared" si="248"/>
        <v>100</v>
      </c>
      <c r="AL163" s="559">
        <f t="shared" ref="AL163" si="279">AVERAGE(AK163:AK166)</f>
        <v>100</v>
      </c>
      <c r="AM163" s="559" t="str">
        <f t="shared" ref="AM163" si="280">IF(AL163&lt;=50,"Débil",IF(AL163&lt;=99,"Moderado",IF(AL163=100,"fuerte","")))</f>
        <v>fuerte</v>
      </c>
      <c r="AN163" s="559">
        <f t="shared" ref="AN163" si="281">+IF(AND(Q163="Preventivo",AM163="Fuerte"),2,IF(AND(Q163="Preventivo",AM163="Moderado"),1,0))</f>
        <v>2</v>
      </c>
      <c r="AO163" s="559">
        <f t="shared" ref="AO163" si="282">+IF(AND(Q163="Detectivo",$AM163="Fuerte"),2,IF(AND(Q163="Detectivo",$AM163="Moderado"),1,IF(AND(Q163="Preventivo",$AM163="Fuerte"),1,0)))</f>
        <v>1</v>
      </c>
      <c r="AP163" s="566">
        <f t="shared" ref="AP163" si="283">+K163-AN163</f>
        <v>0</v>
      </c>
      <c r="AQ163" s="566">
        <f t="shared" ref="AQ163" si="284">+M163-AO163</f>
        <v>2</v>
      </c>
      <c r="AR163" s="569" t="str">
        <f>+VLOOKUP(MIN(AP163),Listados!$J$18:$K$24,2,TRUE)</f>
        <v>Rara Vez</v>
      </c>
      <c r="AS163" s="569" t="str">
        <f>+VLOOKUP(MIN(AQ163),Listados!$J$26:$K$32,2,TRUE)</f>
        <v>Menor</v>
      </c>
      <c r="AT163" s="569" t="str">
        <f>IF(AND(AR163&lt;&gt;"",AS163&lt;&gt;""),VLOOKUP(AR163&amp;AS163,Listados!$M$3:$N$27,2,FALSE),"")</f>
        <v>Bajo</v>
      </c>
      <c r="AU163" s="569" t="str">
        <f>+VLOOKUP(AT163,Listados!$P$3:$Q$6,2,FALSE)</f>
        <v>Asumir el riesgo</v>
      </c>
      <c r="AV163" s="97"/>
      <c r="AW163" s="97"/>
      <c r="AX163" s="98"/>
      <c r="AY163" s="99"/>
      <c r="AZ163" s="97"/>
      <c r="BA163" s="97"/>
      <c r="BB163" s="165" t="s">
        <v>710</v>
      </c>
      <c r="BC163" s="532" t="s">
        <v>711</v>
      </c>
      <c r="BD163" s="789"/>
      <c r="BE163" s="644" t="s">
        <v>712</v>
      </c>
      <c r="BF163" s="647" t="s">
        <v>1631</v>
      </c>
      <c r="BG163" s="650"/>
    </row>
    <row r="164" spans="1:59" ht="119.25" customHeight="1">
      <c r="A164" s="636"/>
      <c r="B164" s="639"/>
      <c r="C164" s="661"/>
      <c r="D164" s="572"/>
      <c r="E164" s="572"/>
      <c r="F164" s="572"/>
      <c r="G164" s="731" t="s">
        <v>713</v>
      </c>
      <c r="H164" s="733" t="s">
        <v>67</v>
      </c>
      <c r="I164" s="731" t="s">
        <v>714</v>
      </c>
      <c r="J164" s="572"/>
      <c r="K164" s="565"/>
      <c r="L164" s="573"/>
      <c r="M164" s="565"/>
      <c r="N164" s="565"/>
      <c r="O164" s="342" t="s">
        <v>715</v>
      </c>
      <c r="P164" s="547" t="s">
        <v>713</v>
      </c>
      <c r="Q164" s="350" t="s">
        <v>72</v>
      </c>
      <c r="R164" s="332" t="s">
        <v>73</v>
      </c>
      <c r="S164" s="333">
        <f t="shared" si="238"/>
        <v>15</v>
      </c>
      <c r="T164" s="332" t="s">
        <v>73</v>
      </c>
      <c r="U164" s="333">
        <f t="shared" si="239"/>
        <v>15</v>
      </c>
      <c r="V164" s="332" t="s">
        <v>73</v>
      </c>
      <c r="W164" s="333">
        <f t="shared" si="240"/>
        <v>15</v>
      </c>
      <c r="X164" s="332" t="s">
        <v>72</v>
      </c>
      <c r="Y164" s="333">
        <f t="shared" si="241"/>
        <v>15</v>
      </c>
      <c r="Z164" s="332" t="s">
        <v>73</v>
      </c>
      <c r="AA164" s="333">
        <f t="shared" si="242"/>
        <v>15</v>
      </c>
      <c r="AB164" s="332" t="s">
        <v>73</v>
      </c>
      <c r="AC164" s="333">
        <f t="shared" si="243"/>
        <v>15</v>
      </c>
      <c r="AD164" s="332" t="s">
        <v>74</v>
      </c>
      <c r="AE164" s="333">
        <f t="shared" si="244"/>
        <v>10</v>
      </c>
      <c r="AF164" s="334">
        <f t="shared" si="245"/>
        <v>100</v>
      </c>
      <c r="AG164" s="334" t="str">
        <f t="shared" si="246"/>
        <v>Fuerte</v>
      </c>
      <c r="AH164" s="335" t="s">
        <v>75</v>
      </c>
      <c r="AI164" s="334" t="str">
        <f t="shared" si="247"/>
        <v>Fuerte</v>
      </c>
      <c r="AJ164" s="334" t="str">
        <f>IFERROR(VLOOKUP((CONCATENATE(AG164,AI164)),Listados!$U$3:$V$11,2,FALSE),"")</f>
        <v>Fuerte</v>
      </c>
      <c r="AK164" s="334">
        <f t="shared" si="248"/>
        <v>100</v>
      </c>
      <c r="AL164" s="558"/>
      <c r="AM164" s="558"/>
      <c r="AN164" s="558"/>
      <c r="AO164" s="558"/>
      <c r="AP164" s="567"/>
      <c r="AQ164" s="567"/>
      <c r="AR164" s="565"/>
      <c r="AS164" s="565"/>
      <c r="AT164" s="565"/>
      <c r="AU164" s="565"/>
      <c r="AV164" s="336"/>
      <c r="AW164" s="336"/>
      <c r="AX164" s="336"/>
      <c r="AY164" s="336"/>
      <c r="AZ164" s="336"/>
      <c r="BA164" s="336"/>
      <c r="BB164" s="343" t="s">
        <v>716</v>
      </c>
      <c r="BC164" s="533" t="s">
        <v>717</v>
      </c>
      <c r="BD164" s="790"/>
      <c r="BE164" s="645"/>
      <c r="BF164" s="648"/>
      <c r="BG164" s="651"/>
    </row>
    <row r="165" spans="1:59" ht="105">
      <c r="A165" s="636"/>
      <c r="B165" s="639"/>
      <c r="C165" s="661"/>
      <c r="D165" s="572"/>
      <c r="E165" s="572"/>
      <c r="F165" s="572"/>
      <c r="G165" s="732"/>
      <c r="H165" s="715"/>
      <c r="I165" s="732"/>
      <c r="J165" s="572"/>
      <c r="K165" s="565"/>
      <c r="L165" s="573"/>
      <c r="M165" s="565"/>
      <c r="N165" s="565"/>
      <c r="O165" s="342" t="s">
        <v>718</v>
      </c>
      <c r="P165" s="211" t="s">
        <v>713</v>
      </c>
      <c r="Q165" s="348" t="s">
        <v>72</v>
      </c>
      <c r="R165" s="332" t="s">
        <v>73</v>
      </c>
      <c r="S165" s="333">
        <f t="shared" si="238"/>
        <v>15</v>
      </c>
      <c r="T165" s="332" t="s">
        <v>73</v>
      </c>
      <c r="U165" s="333">
        <f t="shared" si="239"/>
        <v>15</v>
      </c>
      <c r="V165" s="332" t="s">
        <v>73</v>
      </c>
      <c r="W165" s="333">
        <f t="shared" si="240"/>
        <v>15</v>
      </c>
      <c r="X165" s="332" t="s">
        <v>72</v>
      </c>
      <c r="Y165" s="333">
        <f t="shared" si="241"/>
        <v>15</v>
      </c>
      <c r="Z165" s="332" t="s">
        <v>73</v>
      </c>
      <c r="AA165" s="333">
        <f t="shared" si="242"/>
        <v>15</v>
      </c>
      <c r="AB165" s="332" t="s">
        <v>73</v>
      </c>
      <c r="AC165" s="333">
        <f t="shared" si="243"/>
        <v>15</v>
      </c>
      <c r="AD165" s="332" t="s">
        <v>74</v>
      </c>
      <c r="AE165" s="333">
        <f t="shared" si="244"/>
        <v>10</v>
      </c>
      <c r="AF165" s="334">
        <f t="shared" si="245"/>
        <v>100</v>
      </c>
      <c r="AG165" s="334" t="str">
        <f t="shared" si="246"/>
        <v>Fuerte</v>
      </c>
      <c r="AH165" s="335" t="s">
        <v>75</v>
      </c>
      <c r="AI165" s="334" t="str">
        <f t="shared" si="247"/>
        <v>Fuerte</v>
      </c>
      <c r="AJ165" s="334" t="str">
        <f>IFERROR(VLOOKUP((CONCATENATE(AG165,AI165)),Listados!$U$3:$V$11,2,FALSE),"")</f>
        <v>Fuerte</v>
      </c>
      <c r="AK165" s="334">
        <f t="shared" si="248"/>
        <v>100</v>
      </c>
      <c r="AL165" s="558"/>
      <c r="AM165" s="558"/>
      <c r="AN165" s="558"/>
      <c r="AO165" s="558"/>
      <c r="AP165" s="567"/>
      <c r="AQ165" s="567"/>
      <c r="AR165" s="565"/>
      <c r="AS165" s="565"/>
      <c r="AT165" s="565"/>
      <c r="AU165" s="565"/>
      <c r="AV165" s="336"/>
      <c r="AW165" s="336"/>
      <c r="AX165" s="339"/>
      <c r="AY165" s="339"/>
      <c r="AZ165" s="336"/>
      <c r="BA165" s="336"/>
      <c r="BB165" s="343" t="s">
        <v>719</v>
      </c>
      <c r="BC165" s="533" t="s">
        <v>720</v>
      </c>
      <c r="BD165" s="790"/>
      <c r="BE165" s="645"/>
      <c r="BF165" s="648"/>
      <c r="BG165" s="651"/>
    </row>
    <row r="166" spans="1:59" ht="15.75" thickBot="1">
      <c r="A166" s="697"/>
      <c r="B166" s="695"/>
      <c r="C166" s="696"/>
      <c r="D166" s="548"/>
      <c r="E166" s="548"/>
      <c r="F166" s="548"/>
      <c r="G166" s="221"/>
      <c r="H166" s="228"/>
      <c r="I166" s="228"/>
      <c r="J166" s="548"/>
      <c r="K166" s="556"/>
      <c r="L166" s="554"/>
      <c r="M166" s="556"/>
      <c r="N166" s="556"/>
      <c r="O166" s="229"/>
      <c r="P166" s="206"/>
      <c r="Q166" s="230"/>
      <c r="R166" s="223"/>
      <c r="S166" s="224" t="str">
        <f t="shared" si="238"/>
        <v>0</v>
      </c>
      <c r="T166" s="223"/>
      <c r="U166" s="224" t="str">
        <f t="shared" si="239"/>
        <v>0</v>
      </c>
      <c r="V166" s="223"/>
      <c r="W166" s="224" t="str">
        <f t="shared" si="240"/>
        <v>0</v>
      </c>
      <c r="X166" s="223"/>
      <c r="Y166" s="224" t="str">
        <f t="shared" si="241"/>
        <v>0</v>
      </c>
      <c r="Z166" s="223"/>
      <c r="AA166" s="224" t="str">
        <f t="shared" si="242"/>
        <v>0</v>
      </c>
      <c r="AB166" s="223"/>
      <c r="AC166" s="224" t="str">
        <f t="shared" si="243"/>
        <v>0</v>
      </c>
      <c r="AD166" s="223"/>
      <c r="AE166" s="224" t="str">
        <f t="shared" si="244"/>
        <v>0</v>
      </c>
      <c r="AF166" s="225" t="str">
        <f t="shared" si="245"/>
        <v/>
      </c>
      <c r="AG166" s="225" t="str">
        <f t="shared" si="246"/>
        <v/>
      </c>
      <c r="AH166" s="226"/>
      <c r="AI166" s="225" t="str">
        <f t="shared" si="247"/>
        <v/>
      </c>
      <c r="AJ166" s="225" t="str">
        <f>IFERROR(VLOOKUP((CONCATENATE(AG166,AI166)),Listados!$U$3:$V$11,2,FALSE),"")</f>
        <v/>
      </c>
      <c r="AK166" s="225" t="str">
        <f t="shared" si="248"/>
        <v/>
      </c>
      <c r="AL166" s="563"/>
      <c r="AM166" s="563"/>
      <c r="AN166" s="563"/>
      <c r="AO166" s="563"/>
      <c r="AP166" s="567"/>
      <c r="AQ166" s="567"/>
      <c r="AR166" s="556"/>
      <c r="AS166" s="556"/>
      <c r="AT166" s="556"/>
      <c r="AU166" s="556"/>
      <c r="AV166" s="231"/>
      <c r="AW166" s="231"/>
      <c r="AX166" s="232"/>
      <c r="AY166" s="232"/>
      <c r="AZ166" s="231"/>
      <c r="BA166" s="231"/>
      <c r="BB166" s="168"/>
      <c r="BC166" s="433"/>
      <c r="BD166" s="790"/>
      <c r="BE166" s="645"/>
      <c r="BF166" s="648"/>
      <c r="BG166" s="651"/>
    </row>
    <row r="167" spans="1:59" ht="96" customHeight="1">
      <c r="A167" s="635">
        <v>40</v>
      </c>
      <c r="B167" s="638" t="s">
        <v>704</v>
      </c>
      <c r="C167" s="691" t="s">
        <v>721</v>
      </c>
      <c r="D167" s="584" t="s">
        <v>722</v>
      </c>
      <c r="E167" s="584" t="s">
        <v>85</v>
      </c>
      <c r="F167" s="584" t="s">
        <v>65</v>
      </c>
      <c r="G167" s="92" t="s">
        <v>723</v>
      </c>
      <c r="H167" s="91" t="s">
        <v>67</v>
      </c>
      <c r="I167" s="92" t="s">
        <v>724</v>
      </c>
      <c r="J167" s="584" t="s">
        <v>180</v>
      </c>
      <c r="K167" s="569">
        <f>+VLOOKUP(J167,Listados!$K$8:$L$12,2,0)</f>
        <v>2</v>
      </c>
      <c r="L167" s="585" t="s">
        <v>326</v>
      </c>
      <c r="M167" s="569">
        <f>+VLOOKUP(L167,Listados!$K$13:$L$17,2,0)</f>
        <v>4</v>
      </c>
      <c r="N167" s="569" t="str">
        <f>IF(AND(J167&lt;&gt;"",L167&lt;&gt;""),VLOOKUP(J167&amp;L167,Listados!$M$3:$N$27,2,FALSE),"")</f>
        <v>Alto</v>
      </c>
      <c r="O167" s="141" t="s">
        <v>725</v>
      </c>
      <c r="P167" s="105" t="s">
        <v>723</v>
      </c>
      <c r="Q167" s="130" t="s">
        <v>72</v>
      </c>
      <c r="R167" s="94" t="s">
        <v>73</v>
      </c>
      <c r="S167" s="93">
        <f t="shared" si="238"/>
        <v>15</v>
      </c>
      <c r="T167" s="94" t="s">
        <v>73</v>
      </c>
      <c r="U167" s="93">
        <f t="shared" si="239"/>
        <v>15</v>
      </c>
      <c r="V167" s="94" t="s">
        <v>73</v>
      </c>
      <c r="W167" s="93">
        <f t="shared" si="240"/>
        <v>15</v>
      </c>
      <c r="X167" s="94" t="s">
        <v>72</v>
      </c>
      <c r="Y167" s="93">
        <f t="shared" si="241"/>
        <v>15</v>
      </c>
      <c r="Z167" s="94" t="s">
        <v>73</v>
      </c>
      <c r="AA167" s="93">
        <f t="shared" si="242"/>
        <v>15</v>
      </c>
      <c r="AB167" s="94" t="s">
        <v>73</v>
      </c>
      <c r="AC167" s="93">
        <f t="shared" si="243"/>
        <v>15</v>
      </c>
      <c r="AD167" s="94" t="s">
        <v>74</v>
      </c>
      <c r="AE167" s="93">
        <f t="shared" si="244"/>
        <v>10</v>
      </c>
      <c r="AF167" s="96">
        <f t="shared" si="245"/>
        <v>100</v>
      </c>
      <c r="AG167" s="96" t="str">
        <f t="shared" si="246"/>
        <v>Fuerte</v>
      </c>
      <c r="AH167" s="107" t="s">
        <v>75</v>
      </c>
      <c r="AI167" s="96" t="str">
        <f t="shared" si="247"/>
        <v>Fuerte</v>
      </c>
      <c r="AJ167" s="96" t="str">
        <f>IFERROR(VLOOKUP((CONCATENATE(AG167,AI167)),Listados!$U$3:$V$11,2,FALSE),"")</f>
        <v>Fuerte</v>
      </c>
      <c r="AK167" s="96">
        <f t="shared" si="248"/>
        <v>100</v>
      </c>
      <c r="AL167" s="559">
        <f t="shared" ref="AL167" si="285">AVERAGE(AK167:AK170)</f>
        <v>100</v>
      </c>
      <c r="AM167" s="559" t="str">
        <f t="shared" ref="AM167" si="286">IF(AL167&lt;=50,"Débil",IF(AL167&lt;=99,"Moderado",IF(AL167=100,"fuerte","")))</f>
        <v>fuerte</v>
      </c>
      <c r="AN167" s="559">
        <f t="shared" ref="AN167" si="287">+IF(AND(Q167="Preventivo",AM167="Fuerte"),2,IF(AND(Q167="Preventivo",AM167="Moderado"),1,0))</f>
        <v>2</v>
      </c>
      <c r="AO167" s="559">
        <f t="shared" ref="AO167" si="288">+IF(AND(Q167="Detectivo",$AM167="Fuerte"),2,IF(AND(Q167="Detectivo",$AM167="Moderado"),1,IF(AND(Q167="Preventivo",$AM167="Fuerte"),1,0)))</f>
        <v>1</v>
      </c>
      <c r="AP167" s="566">
        <f t="shared" ref="AP167" si="289">+K167-AN167</f>
        <v>0</v>
      </c>
      <c r="AQ167" s="566">
        <f t="shared" ref="AQ167" si="290">+M167-AO167</f>
        <v>3</v>
      </c>
      <c r="AR167" s="569" t="str">
        <f>+VLOOKUP(MIN(AP167),Listados!$J$18:$K$24,2,TRUE)</f>
        <v>Rara Vez</v>
      </c>
      <c r="AS167" s="569" t="str">
        <f>+VLOOKUP(MIN(AQ167),Listados!$J$26:$K$32,2,TRUE)</f>
        <v>Moderado</v>
      </c>
      <c r="AT167" s="569" t="str">
        <f>IF(AND(AR167&lt;&gt;"",AS167&lt;&gt;""),VLOOKUP(AR167&amp;AS167,Listados!$M$3:$N$27,2,FALSE),"")</f>
        <v>Moderado</v>
      </c>
      <c r="AU167" s="569" t="str">
        <f>+VLOOKUP(AT167,Listados!$P$3:$Q$6,2,FALSE)</f>
        <v>Asumir el riesgo</v>
      </c>
      <c r="AV167" s="97"/>
      <c r="AW167" s="97"/>
      <c r="AX167" s="98"/>
      <c r="AY167" s="99"/>
      <c r="AZ167" s="97"/>
      <c r="BA167" s="97"/>
      <c r="BB167" s="120" t="s">
        <v>726</v>
      </c>
      <c r="BC167" s="165" t="s">
        <v>727</v>
      </c>
      <c r="BD167" s="789"/>
      <c r="BE167" s="644" t="s">
        <v>728</v>
      </c>
      <c r="BF167" s="647" t="s">
        <v>1632</v>
      </c>
      <c r="BG167" s="650"/>
    </row>
    <row r="168" spans="1:59" ht="98.25" customHeight="1">
      <c r="A168" s="636"/>
      <c r="B168" s="639"/>
      <c r="C168" s="661"/>
      <c r="D168" s="572"/>
      <c r="E168" s="572"/>
      <c r="F168" s="572"/>
      <c r="G168" s="329" t="s">
        <v>729</v>
      </c>
      <c r="H168" s="328" t="s">
        <v>67</v>
      </c>
      <c r="I168" s="329" t="s">
        <v>730</v>
      </c>
      <c r="J168" s="572"/>
      <c r="K168" s="565"/>
      <c r="L168" s="573"/>
      <c r="M168" s="565"/>
      <c r="N168" s="565"/>
      <c r="O168" s="342" t="s">
        <v>731</v>
      </c>
      <c r="P168" s="73" t="s">
        <v>729</v>
      </c>
      <c r="Q168" s="350" t="s">
        <v>72</v>
      </c>
      <c r="R168" s="332" t="s">
        <v>73</v>
      </c>
      <c r="S168" s="333">
        <f t="shared" si="238"/>
        <v>15</v>
      </c>
      <c r="T168" s="332" t="s">
        <v>73</v>
      </c>
      <c r="U168" s="333">
        <f t="shared" si="239"/>
        <v>15</v>
      </c>
      <c r="V168" s="332" t="s">
        <v>73</v>
      </c>
      <c r="W168" s="333">
        <f t="shared" si="240"/>
        <v>15</v>
      </c>
      <c r="X168" s="332" t="s">
        <v>72</v>
      </c>
      <c r="Y168" s="333">
        <f t="shared" si="241"/>
        <v>15</v>
      </c>
      <c r="Z168" s="332" t="s">
        <v>73</v>
      </c>
      <c r="AA168" s="333">
        <f t="shared" si="242"/>
        <v>15</v>
      </c>
      <c r="AB168" s="332" t="s">
        <v>73</v>
      </c>
      <c r="AC168" s="333">
        <f t="shared" si="243"/>
        <v>15</v>
      </c>
      <c r="AD168" s="332" t="s">
        <v>74</v>
      </c>
      <c r="AE168" s="333">
        <f t="shared" si="244"/>
        <v>10</v>
      </c>
      <c r="AF168" s="334">
        <f t="shared" si="245"/>
        <v>100</v>
      </c>
      <c r="AG168" s="334" t="str">
        <f t="shared" si="246"/>
        <v>Fuerte</v>
      </c>
      <c r="AH168" s="335" t="s">
        <v>75</v>
      </c>
      <c r="AI168" s="334" t="str">
        <f t="shared" si="247"/>
        <v>Fuerte</v>
      </c>
      <c r="AJ168" s="334" t="str">
        <f>IFERROR(VLOOKUP((CONCATENATE(AG168,AI168)),Listados!$U$3:$V$11,2,FALSE),"")</f>
        <v>Fuerte</v>
      </c>
      <c r="AK168" s="334">
        <f t="shared" si="248"/>
        <v>100</v>
      </c>
      <c r="AL168" s="558"/>
      <c r="AM168" s="558"/>
      <c r="AN168" s="558"/>
      <c r="AO168" s="558"/>
      <c r="AP168" s="567"/>
      <c r="AQ168" s="567"/>
      <c r="AR168" s="565"/>
      <c r="AS168" s="565"/>
      <c r="AT168" s="565"/>
      <c r="AU168" s="565"/>
      <c r="AV168" s="336"/>
      <c r="AW168" s="336"/>
      <c r="AX168" s="336"/>
      <c r="AY168" s="336"/>
      <c r="AZ168" s="336"/>
      <c r="BA168" s="336"/>
      <c r="BB168" s="343" t="s">
        <v>732</v>
      </c>
      <c r="BC168" s="433" t="s">
        <v>733</v>
      </c>
      <c r="BD168" s="790"/>
      <c r="BE168" s="645"/>
      <c r="BF168" s="648"/>
      <c r="BG168" s="651"/>
    </row>
    <row r="169" spans="1:59" ht="105.75" customHeight="1">
      <c r="A169" s="636"/>
      <c r="B169" s="639"/>
      <c r="C169" s="661"/>
      <c r="D169" s="572"/>
      <c r="E169" s="572"/>
      <c r="F169" s="572"/>
      <c r="G169" s="329" t="s">
        <v>734</v>
      </c>
      <c r="H169" s="328" t="s">
        <v>67</v>
      </c>
      <c r="I169" s="329" t="s">
        <v>735</v>
      </c>
      <c r="J169" s="572"/>
      <c r="K169" s="565"/>
      <c r="L169" s="573"/>
      <c r="M169" s="565"/>
      <c r="N169" s="565"/>
      <c r="O169" s="342" t="s">
        <v>736</v>
      </c>
      <c r="P169" s="73" t="s">
        <v>734</v>
      </c>
      <c r="Q169" s="348" t="s">
        <v>72</v>
      </c>
      <c r="R169" s="332" t="s">
        <v>73</v>
      </c>
      <c r="S169" s="333">
        <f t="shared" si="238"/>
        <v>15</v>
      </c>
      <c r="T169" s="332" t="s">
        <v>73</v>
      </c>
      <c r="U169" s="333">
        <f t="shared" si="239"/>
        <v>15</v>
      </c>
      <c r="V169" s="332" t="s">
        <v>73</v>
      </c>
      <c r="W169" s="333">
        <f t="shared" si="240"/>
        <v>15</v>
      </c>
      <c r="X169" s="332" t="s">
        <v>72</v>
      </c>
      <c r="Y169" s="333">
        <f t="shared" si="241"/>
        <v>15</v>
      </c>
      <c r="Z169" s="332" t="s">
        <v>73</v>
      </c>
      <c r="AA169" s="333">
        <f t="shared" si="242"/>
        <v>15</v>
      </c>
      <c r="AB169" s="332" t="s">
        <v>73</v>
      </c>
      <c r="AC169" s="333">
        <f t="shared" si="243"/>
        <v>15</v>
      </c>
      <c r="AD169" s="332" t="s">
        <v>74</v>
      </c>
      <c r="AE169" s="333">
        <f t="shared" si="244"/>
        <v>10</v>
      </c>
      <c r="AF169" s="334">
        <f t="shared" si="245"/>
        <v>100</v>
      </c>
      <c r="AG169" s="334" t="str">
        <f t="shared" si="246"/>
        <v>Fuerte</v>
      </c>
      <c r="AH169" s="335" t="s">
        <v>75</v>
      </c>
      <c r="AI169" s="334" t="str">
        <f t="shared" si="247"/>
        <v>Fuerte</v>
      </c>
      <c r="AJ169" s="334" t="str">
        <f>IFERROR(VLOOKUP((CONCATENATE(AG169,AI169)),Listados!$U$3:$V$11,2,FALSE),"")</f>
        <v>Fuerte</v>
      </c>
      <c r="AK169" s="334">
        <f t="shared" si="248"/>
        <v>100</v>
      </c>
      <c r="AL169" s="558"/>
      <c r="AM169" s="558"/>
      <c r="AN169" s="558"/>
      <c r="AO169" s="558"/>
      <c r="AP169" s="567"/>
      <c r="AQ169" s="567"/>
      <c r="AR169" s="565"/>
      <c r="AS169" s="565"/>
      <c r="AT169" s="565"/>
      <c r="AU169" s="565"/>
      <c r="AV169" s="336"/>
      <c r="AW169" s="336"/>
      <c r="AX169" s="339"/>
      <c r="AY169" s="339"/>
      <c r="AZ169" s="336"/>
      <c r="BA169" s="336"/>
      <c r="BB169" s="343" t="s">
        <v>737</v>
      </c>
      <c r="BC169" s="433" t="s">
        <v>738</v>
      </c>
      <c r="BD169" s="790"/>
      <c r="BE169" s="645"/>
      <c r="BF169" s="648"/>
      <c r="BG169" s="651"/>
    </row>
    <row r="170" spans="1:59" ht="96" customHeight="1" thickBot="1">
      <c r="A170" s="697"/>
      <c r="B170" s="695"/>
      <c r="C170" s="696"/>
      <c r="D170" s="548"/>
      <c r="E170" s="548"/>
      <c r="F170" s="548"/>
      <c r="G170" s="221" t="s">
        <v>739</v>
      </c>
      <c r="H170" s="222" t="s">
        <v>67</v>
      </c>
      <c r="I170" s="221" t="s">
        <v>740</v>
      </c>
      <c r="J170" s="548"/>
      <c r="K170" s="556"/>
      <c r="L170" s="554"/>
      <c r="M170" s="556"/>
      <c r="N170" s="556"/>
      <c r="O170" s="342" t="s">
        <v>741</v>
      </c>
      <c r="P170" s="206" t="s">
        <v>739</v>
      </c>
      <c r="Q170" s="230" t="s">
        <v>72</v>
      </c>
      <c r="R170" s="223" t="s">
        <v>73</v>
      </c>
      <c r="S170" s="224">
        <f t="shared" si="238"/>
        <v>15</v>
      </c>
      <c r="T170" s="223" t="s">
        <v>73</v>
      </c>
      <c r="U170" s="224">
        <f t="shared" si="239"/>
        <v>15</v>
      </c>
      <c r="V170" s="223" t="s">
        <v>73</v>
      </c>
      <c r="W170" s="224">
        <f t="shared" si="240"/>
        <v>15</v>
      </c>
      <c r="X170" s="223" t="s">
        <v>72</v>
      </c>
      <c r="Y170" s="224">
        <f t="shared" si="241"/>
        <v>15</v>
      </c>
      <c r="Z170" s="223" t="s">
        <v>73</v>
      </c>
      <c r="AA170" s="224">
        <f t="shared" si="242"/>
        <v>15</v>
      </c>
      <c r="AB170" s="223" t="s">
        <v>73</v>
      </c>
      <c r="AC170" s="224">
        <f t="shared" si="243"/>
        <v>15</v>
      </c>
      <c r="AD170" s="223" t="s">
        <v>74</v>
      </c>
      <c r="AE170" s="224">
        <f t="shared" si="244"/>
        <v>10</v>
      </c>
      <c r="AF170" s="225">
        <f t="shared" si="245"/>
        <v>100</v>
      </c>
      <c r="AG170" s="225" t="str">
        <f t="shared" si="246"/>
        <v>Fuerte</v>
      </c>
      <c r="AH170" s="226" t="s">
        <v>75</v>
      </c>
      <c r="AI170" s="225" t="str">
        <f t="shared" si="247"/>
        <v>Fuerte</v>
      </c>
      <c r="AJ170" s="225" t="str">
        <f>IFERROR(VLOOKUP((CONCATENATE(AG170,AI170)),Listados!$U$3:$V$11,2,FALSE),"")</f>
        <v>Fuerte</v>
      </c>
      <c r="AK170" s="225">
        <f t="shared" si="248"/>
        <v>100</v>
      </c>
      <c r="AL170" s="563"/>
      <c r="AM170" s="563"/>
      <c r="AN170" s="563"/>
      <c r="AO170" s="563"/>
      <c r="AP170" s="567"/>
      <c r="AQ170" s="567"/>
      <c r="AR170" s="556"/>
      <c r="AS170" s="556"/>
      <c r="AT170" s="556"/>
      <c r="AU170" s="556"/>
      <c r="AV170" s="231"/>
      <c r="AW170" s="231"/>
      <c r="AX170" s="232"/>
      <c r="AY170" s="232"/>
      <c r="AZ170" s="231"/>
      <c r="BA170" s="231"/>
      <c r="BB170" s="239" t="s">
        <v>742</v>
      </c>
      <c r="BC170" s="433" t="s">
        <v>743</v>
      </c>
      <c r="BD170" s="790"/>
      <c r="BE170" s="645"/>
      <c r="BF170" s="648"/>
      <c r="BG170" s="651"/>
    </row>
    <row r="171" spans="1:59" ht="111" customHeight="1" thickBot="1">
      <c r="A171" s="635">
        <v>41</v>
      </c>
      <c r="B171" s="638" t="s">
        <v>744</v>
      </c>
      <c r="C171" s="691" t="s">
        <v>745</v>
      </c>
      <c r="D171" s="584" t="s">
        <v>746</v>
      </c>
      <c r="E171" s="584" t="s">
        <v>278</v>
      </c>
      <c r="F171" s="584" t="s">
        <v>65</v>
      </c>
      <c r="G171" s="92" t="s">
        <v>747</v>
      </c>
      <c r="H171" s="91" t="s">
        <v>67</v>
      </c>
      <c r="I171" s="92" t="s">
        <v>748</v>
      </c>
      <c r="J171" s="584" t="s">
        <v>88</v>
      </c>
      <c r="K171" s="569">
        <f>+VLOOKUP(J171,Listados!$K$8:$L$12,2,0)</f>
        <v>3</v>
      </c>
      <c r="L171" s="585" t="s">
        <v>89</v>
      </c>
      <c r="M171" s="569">
        <f>+VLOOKUP(L171,Listados!$K$13:$L$17,2,0)</f>
        <v>3</v>
      </c>
      <c r="N171" s="569" t="str">
        <f>IF(AND(J171&lt;&gt;"",L171&lt;&gt;""),VLOOKUP(J171&amp;L171,Listados!$M$3:$N$27,2,FALSE),"")</f>
        <v>Alto</v>
      </c>
      <c r="O171" s="141" t="s">
        <v>749</v>
      </c>
      <c r="P171" s="209" t="s">
        <v>747</v>
      </c>
      <c r="Q171" s="130" t="s">
        <v>72</v>
      </c>
      <c r="R171" s="94" t="s">
        <v>73</v>
      </c>
      <c r="S171" s="93">
        <f t="shared" si="238"/>
        <v>15</v>
      </c>
      <c r="T171" s="94" t="s">
        <v>73</v>
      </c>
      <c r="U171" s="93">
        <f t="shared" si="239"/>
        <v>15</v>
      </c>
      <c r="V171" s="94" t="s">
        <v>73</v>
      </c>
      <c r="W171" s="93">
        <f t="shared" si="240"/>
        <v>15</v>
      </c>
      <c r="X171" s="94" t="s">
        <v>72</v>
      </c>
      <c r="Y171" s="93">
        <f t="shared" si="241"/>
        <v>15</v>
      </c>
      <c r="Z171" s="94" t="s">
        <v>73</v>
      </c>
      <c r="AA171" s="93">
        <f t="shared" si="242"/>
        <v>15</v>
      </c>
      <c r="AB171" s="94" t="s">
        <v>73</v>
      </c>
      <c r="AC171" s="93">
        <f t="shared" si="243"/>
        <v>15</v>
      </c>
      <c r="AD171" s="94" t="s">
        <v>74</v>
      </c>
      <c r="AE171" s="93">
        <f t="shared" si="244"/>
        <v>10</v>
      </c>
      <c r="AF171" s="96">
        <f>IF((SUM(S171,U171,W171,Y171,AA171,AC171,AE171)=0),"",(SUM(S171,U171,W171,Y171,AA171,AC171,AE171)))</f>
        <v>100</v>
      </c>
      <c r="AG171" s="96" t="str">
        <f t="shared" si="246"/>
        <v>Fuerte</v>
      </c>
      <c r="AH171" s="107" t="s">
        <v>750</v>
      </c>
      <c r="AI171" s="96" t="str">
        <f t="shared" si="247"/>
        <v>Moderado</v>
      </c>
      <c r="AJ171" s="96" t="str">
        <f>IFERROR(VLOOKUP((CONCATENATE(AG171,AI171)),Listados!$U$3:$V$11,2,FALSE),"")</f>
        <v>Moderado</v>
      </c>
      <c r="AK171" s="96">
        <f>IF(AJ171="","",IF(AJ171="Débil", 0, IF(AJ171="Moderado",50,100)))</f>
        <v>50</v>
      </c>
      <c r="AL171" s="559">
        <f t="shared" ref="AL171" si="291">AVERAGE(AK171:AK174)</f>
        <v>50</v>
      </c>
      <c r="AM171" s="559" t="str">
        <f t="shared" ref="AM171" si="292">IF(AL171&lt;=50,"Débil",IF(AL171&lt;=99,"Moderado",IF(AL171=100,"fuerte","")))</f>
        <v>Débil</v>
      </c>
      <c r="AN171" s="559">
        <f t="shared" ref="AN171" si="293">+IF(AND(Q171="Preventivo",AM171="Fuerte"),2,IF(AND(Q171="Preventivo",AM171="Moderado"),1,0))</f>
        <v>0</v>
      </c>
      <c r="AO171" s="559">
        <f t="shared" ref="AO171" si="294">+IF(AND(Q171="Detectivo",$AM171="Fuerte"),2,IF(AND(Q171="Detectivo",$AM171="Moderado"),1,IF(AND(Q171="Preventivo",$AM171="Fuerte"),1,0)))</f>
        <v>0</v>
      </c>
      <c r="AP171" s="566">
        <f t="shared" ref="AP171" si="295">+K171-AN171</f>
        <v>3</v>
      </c>
      <c r="AQ171" s="566">
        <f t="shared" ref="AQ171" si="296">+M171-AO171</f>
        <v>3</v>
      </c>
      <c r="AR171" s="569" t="str">
        <f>+VLOOKUP(MIN(AP171),Listados!$J$18:$K$24,2,TRUE)</f>
        <v>Posible</v>
      </c>
      <c r="AS171" s="569" t="str">
        <f>+VLOOKUP(MIN(AQ171),Listados!$J$26:$K$32,2,TRUE)</f>
        <v>Moderado</v>
      </c>
      <c r="AT171" s="569" t="str">
        <f>IF(AND(AR171&lt;&gt;"",AS171&lt;&gt;""),VLOOKUP(AR171&amp;AS171,Listados!$M$3:$N$27,2,FALSE),"")</f>
        <v>Alto</v>
      </c>
      <c r="AU171" s="569" t="str">
        <f>+VLOOKUP(AT171,Listados!$P$3:$Q$6,2,FALSE)</f>
        <v>Reducir el riesgo</v>
      </c>
      <c r="AV171" s="120" t="s">
        <v>751</v>
      </c>
      <c r="AW171" s="194" t="s">
        <v>752</v>
      </c>
      <c r="AX171" s="195">
        <v>45778</v>
      </c>
      <c r="AY171" s="195">
        <v>45838</v>
      </c>
      <c r="AZ171" s="120" t="s">
        <v>753</v>
      </c>
      <c r="BA171" s="120" t="s">
        <v>754</v>
      </c>
      <c r="BB171" s="97" t="s">
        <v>755</v>
      </c>
      <c r="BC171" s="786" t="s">
        <v>756</v>
      </c>
      <c r="BD171" s="789"/>
      <c r="BE171" s="644" t="s">
        <v>757</v>
      </c>
      <c r="BF171" s="647" t="s">
        <v>1633</v>
      </c>
      <c r="BG171" s="650"/>
    </row>
    <row r="172" spans="1:59" ht="94.5" customHeight="1">
      <c r="A172" s="636"/>
      <c r="B172" s="639"/>
      <c r="C172" s="661"/>
      <c r="D172" s="572"/>
      <c r="E172" s="572"/>
      <c r="F172" s="572"/>
      <c r="G172" s="329" t="s">
        <v>758</v>
      </c>
      <c r="H172" s="328" t="s">
        <v>67</v>
      </c>
      <c r="I172" s="329" t="s">
        <v>759</v>
      </c>
      <c r="J172" s="572"/>
      <c r="K172" s="565"/>
      <c r="L172" s="573"/>
      <c r="M172" s="565"/>
      <c r="N172" s="565"/>
      <c r="O172" s="141" t="s">
        <v>760</v>
      </c>
      <c r="P172" s="358" t="s">
        <v>758</v>
      </c>
      <c r="Q172" s="350" t="s">
        <v>72</v>
      </c>
      <c r="R172" s="332" t="s">
        <v>73</v>
      </c>
      <c r="S172" s="333">
        <f t="shared" si="238"/>
        <v>15</v>
      </c>
      <c r="T172" s="332" t="s">
        <v>73</v>
      </c>
      <c r="U172" s="333">
        <f t="shared" si="239"/>
        <v>15</v>
      </c>
      <c r="V172" s="332" t="s">
        <v>73</v>
      </c>
      <c r="W172" s="333">
        <f t="shared" si="240"/>
        <v>15</v>
      </c>
      <c r="X172" s="332" t="s">
        <v>72</v>
      </c>
      <c r="Y172" s="333">
        <f t="shared" si="241"/>
        <v>15</v>
      </c>
      <c r="Z172" s="332" t="s">
        <v>73</v>
      </c>
      <c r="AA172" s="333">
        <f t="shared" si="242"/>
        <v>15</v>
      </c>
      <c r="AB172" s="332" t="s">
        <v>73</v>
      </c>
      <c r="AC172" s="333">
        <f t="shared" si="243"/>
        <v>15</v>
      </c>
      <c r="AD172" s="332" t="s">
        <v>74</v>
      </c>
      <c r="AE172" s="333">
        <f t="shared" si="244"/>
        <v>10</v>
      </c>
      <c r="AF172" s="334">
        <f t="shared" si="245"/>
        <v>100</v>
      </c>
      <c r="AG172" s="334" t="str">
        <f t="shared" si="246"/>
        <v>Fuerte</v>
      </c>
      <c r="AH172" s="335" t="s">
        <v>750</v>
      </c>
      <c r="AI172" s="334" t="str">
        <f t="shared" si="247"/>
        <v>Moderado</v>
      </c>
      <c r="AJ172" s="334" t="str">
        <f>IFERROR(VLOOKUP((CONCATENATE(AG172,AI172)),Listados!$U$3:$V$11,2,FALSE),"")</f>
        <v>Moderado</v>
      </c>
      <c r="AK172" s="334">
        <f t="shared" si="248"/>
        <v>50</v>
      </c>
      <c r="AL172" s="558"/>
      <c r="AM172" s="558"/>
      <c r="AN172" s="558"/>
      <c r="AO172" s="558"/>
      <c r="AP172" s="567"/>
      <c r="AQ172" s="567"/>
      <c r="AR172" s="565"/>
      <c r="AS172" s="565"/>
      <c r="AT172" s="565"/>
      <c r="AU172" s="565"/>
      <c r="AV172" s="343" t="s">
        <v>761</v>
      </c>
      <c r="AW172" s="367" t="s">
        <v>762</v>
      </c>
      <c r="AX172" s="193">
        <v>45778</v>
      </c>
      <c r="AY172" s="193">
        <v>46021</v>
      </c>
      <c r="AZ172" s="343" t="s">
        <v>753</v>
      </c>
      <c r="BA172" s="343" t="s">
        <v>763</v>
      </c>
      <c r="BB172" s="336" t="s">
        <v>755</v>
      </c>
      <c r="BC172" s="787"/>
      <c r="BD172" s="790"/>
      <c r="BE172" s="645"/>
      <c r="BF172" s="648"/>
      <c r="BG172" s="651"/>
    </row>
    <row r="173" spans="1:59">
      <c r="A173" s="636"/>
      <c r="B173" s="639"/>
      <c r="C173" s="661"/>
      <c r="D173" s="572"/>
      <c r="E173" s="572"/>
      <c r="F173" s="572"/>
      <c r="G173" s="329"/>
      <c r="H173" s="337"/>
      <c r="I173" s="337"/>
      <c r="J173" s="572"/>
      <c r="K173" s="565"/>
      <c r="L173" s="573"/>
      <c r="M173" s="565"/>
      <c r="N173" s="565"/>
      <c r="O173" s="347"/>
      <c r="P173" s="73"/>
      <c r="Q173" s="348"/>
      <c r="R173" s="332"/>
      <c r="S173" s="333" t="str">
        <f t="shared" si="238"/>
        <v>0</v>
      </c>
      <c r="T173" s="332"/>
      <c r="U173" s="333" t="str">
        <f t="shared" si="239"/>
        <v>0</v>
      </c>
      <c r="V173" s="332"/>
      <c r="W173" s="333" t="str">
        <f t="shared" si="240"/>
        <v>0</v>
      </c>
      <c r="X173" s="332"/>
      <c r="Y173" s="333" t="str">
        <f t="shared" si="241"/>
        <v>0</v>
      </c>
      <c r="Z173" s="332"/>
      <c r="AA173" s="333" t="str">
        <f t="shared" si="242"/>
        <v>0</v>
      </c>
      <c r="AB173" s="332"/>
      <c r="AC173" s="333" t="str">
        <f t="shared" si="243"/>
        <v>0</v>
      </c>
      <c r="AD173" s="332"/>
      <c r="AE173" s="333" t="str">
        <f t="shared" si="244"/>
        <v>0</v>
      </c>
      <c r="AF173" s="334" t="str">
        <f t="shared" si="245"/>
        <v/>
      </c>
      <c r="AG173" s="334" t="str">
        <f t="shared" si="246"/>
        <v/>
      </c>
      <c r="AH173" s="335"/>
      <c r="AI173" s="334" t="str">
        <f t="shared" si="247"/>
        <v/>
      </c>
      <c r="AJ173" s="334" t="str">
        <f>IFERROR(VLOOKUP((CONCATENATE(AG173,AI173)),Listados!$U$3:$V$11,2,FALSE),"")</f>
        <v/>
      </c>
      <c r="AK173" s="334" t="str">
        <f t="shared" si="248"/>
        <v/>
      </c>
      <c r="AL173" s="558"/>
      <c r="AM173" s="558"/>
      <c r="AN173" s="558"/>
      <c r="AO173" s="558"/>
      <c r="AP173" s="567"/>
      <c r="AQ173" s="567"/>
      <c r="AR173" s="565"/>
      <c r="AS173" s="565"/>
      <c r="AT173" s="565"/>
      <c r="AU173" s="565"/>
      <c r="AV173" s="336"/>
      <c r="AW173" s="336"/>
      <c r="AX173" s="339"/>
      <c r="AY173" s="339"/>
      <c r="AZ173" s="336"/>
      <c r="BA173" s="336"/>
      <c r="BB173" s="168"/>
      <c r="BC173" s="787"/>
      <c r="BD173" s="790"/>
      <c r="BE173" s="645"/>
      <c r="BF173" s="648"/>
      <c r="BG173" s="651"/>
    </row>
    <row r="174" spans="1:59">
      <c r="A174" s="637"/>
      <c r="B174" s="640"/>
      <c r="C174" s="662"/>
      <c r="D174" s="586"/>
      <c r="E174" s="586"/>
      <c r="F174" s="586"/>
      <c r="G174" s="256"/>
      <c r="H174" s="257"/>
      <c r="I174" s="257"/>
      <c r="J174" s="586"/>
      <c r="K174" s="570"/>
      <c r="L174" s="587"/>
      <c r="M174" s="570"/>
      <c r="N174" s="570"/>
      <c r="O174" s="258"/>
      <c r="P174" s="146"/>
      <c r="Q174" s="269"/>
      <c r="R174" s="260"/>
      <c r="S174" s="261" t="str">
        <f t="shared" si="238"/>
        <v>0</v>
      </c>
      <c r="T174" s="260"/>
      <c r="U174" s="261" t="str">
        <f t="shared" si="239"/>
        <v>0</v>
      </c>
      <c r="V174" s="260"/>
      <c r="W174" s="261" t="str">
        <f t="shared" si="240"/>
        <v>0</v>
      </c>
      <c r="X174" s="260"/>
      <c r="Y174" s="261" t="str">
        <f t="shared" si="241"/>
        <v>0</v>
      </c>
      <c r="Z174" s="260"/>
      <c r="AA174" s="261" t="str">
        <f t="shared" si="242"/>
        <v>0</v>
      </c>
      <c r="AB174" s="260"/>
      <c r="AC174" s="261" t="str">
        <f t="shared" si="243"/>
        <v>0</v>
      </c>
      <c r="AD174" s="260"/>
      <c r="AE174" s="261" t="str">
        <f t="shared" si="244"/>
        <v>0</v>
      </c>
      <c r="AF174" s="262" t="str">
        <f t="shared" si="245"/>
        <v/>
      </c>
      <c r="AG174" s="262" t="str">
        <f t="shared" si="246"/>
        <v/>
      </c>
      <c r="AH174" s="263"/>
      <c r="AI174" s="262" t="str">
        <f t="shared" si="247"/>
        <v/>
      </c>
      <c r="AJ174" s="262" t="str">
        <f>IFERROR(VLOOKUP((CONCATENATE(AG174,AI174)),Listados!$U$3:$V$11,2,FALSE),"")</f>
        <v/>
      </c>
      <c r="AK174" s="262" t="str">
        <f t="shared" si="248"/>
        <v/>
      </c>
      <c r="AL174" s="560"/>
      <c r="AM174" s="560"/>
      <c r="AN174" s="560"/>
      <c r="AO174" s="560"/>
      <c r="AP174" s="568"/>
      <c r="AQ174" s="568"/>
      <c r="AR174" s="570"/>
      <c r="AS174" s="570"/>
      <c r="AT174" s="570"/>
      <c r="AU174" s="570"/>
      <c r="AV174" s="249"/>
      <c r="AW174" s="249"/>
      <c r="AX174" s="250"/>
      <c r="AY174" s="250"/>
      <c r="AZ174" s="249"/>
      <c r="BA174" s="249"/>
      <c r="BB174" s="169"/>
      <c r="BC174" s="787"/>
      <c r="BD174" s="791"/>
      <c r="BE174" s="646"/>
      <c r="BF174" s="649"/>
      <c r="BG174" s="652"/>
    </row>
    <row r="175" spans="1:59" ht="78.75" customHeight="1">
      <c r="A175" s="635">
        <v>42</v>
      </c>
      <c r="B175" s="638" t="s">
        <v>764</v>
      </c>
      <c r="C175" s="691" t="s">
        <v>765</v>
      </c>
      <c r="D175" s="584" t="s">
        <v>766</v>
      </c>
      <c r="E175" s="584" t="s">
        <v>767</v>
      </c>
      <c r="F175" s="715" t="s">
        <v>768</v>
      </c>
      <c r="G175" s="92" t="s">
        <v>769</v>
      </c>
      <c r="H175" s="91" t="s">
        <v>67</v>
      </c>
      <c r="I175" s="473" t="s">
        <v>770</v>
      </c>
      <c r="J175" s="584" t="s">
        <v>106</v>
      </c>
      <c r="K175" s="569">
        <f>+VLOOKUP(J175,Listados!$K$8:$L$12,2,0)</f>
        <v>4</v>
      </c>
      <c r="L175" s="585" t="s">
        <v>70</v>
      </c>
      <c r="M175" s="569">
        <f>+VLOOKUP(L175,Listados!$K$13:$L$17,2,0)</f>
        <v>2</v>
      </c>
      <c r="N175" s="569" t="str">
        <f>IF(AND(J175&lt;&gt;"",L175&lt;&gt;""),VLOOKUP(J175&amp;L175,Listados!$M$3:$N$27,2,FALSE),"")</f>
        <v>Alto</v>
      </c>
      <c r="O175" s="473" t="s">
        <v>771</v>
      </c>
      <c r="P175" s="474" t="s">
        <v>769</v>
      </c>
      <c r="Q175" s="130" t="s">
        <v>72</v>
      </c>
      <c r="R175" s="94" t="s">
        <v>73</v>
      </c>
      <c r="S175" s="93">
        <f t="shared" si="238"/>
        <v>15</v>
      </c>
      <c r="T175" s="94" t="s">
        <v>73</v>
      </c>
      <c r="U175" s="93">
        <f t="shared" si="239"/>
        <v>15</v>
      </c>
      <c r="V175" s="94" t="s">
        <v>73</v>
      </c>
      <c r="W175" s="93">
        <f t="shared" si="240"/>
        <v>15</v>
      </c>
      <c r="X175" s="94" t="s">
        <v>72</v>
      </c>
      <c r="Y175" s="93">
        <f t="shared" si="241"/>
        <v>15</v>
      </c>
      <c r="Z175" s="94" t="s">
        <v>73</v>
      </c>
      <c r="AA175" s="93">
        <f t="shared" si="242"/>
        <v>15</v>
      </c>
      <c r="AB175" s="94" t="s">
        <v>73</v>
      </c>
      <c r="AC175" s="93">
        <f t="shared" si="243"/>
        <v>15</v>
      </c>
      <c r="AD175" s="94" t="s">
        <v>74</v>
      </c>
      <c r="AE175" s="93">
        <f t="shared" si="244"/>
        <v>10</v>
      </c>
      <c r="AF175" s="96">
        <f t="shared" si="245"/>
        <v>100</v>
      </c>
      <c r="AG175" s="96" t="str">
        <f t="shared" si="246"/>
        <v>Fuerte</v>
      </c>
      <c r="AH175" s="107" t="s">
        <v>75</v>
      </c>
      <c r="AI175" s="96" t="str">
        <f t="shared" si="247"/>
        <v>Fuerte</v>
      </c>
      <c r="AJ175" s="96" t="str">
        <f>IFERROR(VLOOKUP((CONCATENATE(AG175,AI175)),Listados!$U$3:$V$11,2,FALSE),"")</f>
        <v>Fuerte</v>
      </c>
      <c r="AK175" s="96">
        <f t="shared" si="248"/>
        <v>100</v>
      </c>
      <c r="AL175" s="559">
        <f t="shared" ref="AL175" si="297">AVERAGE(AK175:AK178)</f>
        <v>100</v>
      </c>
      <c r="AM175" s="559" t="str">
        <f t="shared" ref="AM175" si="298">IF(AL175&lt;=50,"Débil",IF(AL175&lt;=99,"Moderado",IF(AL175=100,"fuerte","")))</f>
        <v>fuerte</v>
      </c>
      <c r="AN175" s="559">
        <f t="shared" ref="AN175" si="299">+IF(AND(Q175="Preventivo",AM175="Fuerte"),2,IF(AND(Q175="Preventivo",AM175="Moderado"),1,0))</f>
        <v>2</v>
      </c>
      <c r="AO175" s="559">
        <f t="shared" ref="AO175" si="300">+IF(AND(Q175="Detectivo",$AM175="Fuerte"),2,IF(AND(Q175="Detectivo",$AM175="Moderado"),1,IF(AND(Q175="Preventivo",$AM175="Fuerte"),1,0)))</f>
        <v>1</v>
      </c>
      <c r="AP175" s="566">
        <f t="shared" ref="AP175" si="301">+K175-AN175</f>
        <v>2</v>
      </c>
      <c r="AQ175" s="566">
        <f t="shared" ref="AQ175" si="302">+M175-AO175</f>
        <v>1</v>
      </c>
      <c r="AR175" s="569" t="str">
        <f>+VLOOKUP(MIN(AP175),Listados!$J$18:$K$24,2,TRUE)</f>
        <v>Improbable</v>
      </c>
      <c r="AS175" s="569" t="str">
        <f>+VLOOKUP(MIN(AQ175),Listados!$J$26:$K$32,2,TRUE)</f>
        <v>Insignificante</v>
      </c>
      <c r="AT175" s="569" t="str">
        <f>IF(AND(AR175&lt;&gt;"",AS175&lt;&gt;""),VLOOKUP(AR175&amp;AS175,Listados!$M$3:$N$27,2,FALSE),"")</f>
        <v>Bajo</v>
      </c>
      <c r="AU175" s="569" t="str">
        <f>+VLOOKUP(AT175,Listados!$P$3:$Q$6,2,FALSE)</f>
        <v>Asumir el riesgo</v>
      </c>
      <c r="AV175" s="97"/>
      <c r="AW175" s="97"/>
      <c r="AX175" s="98"/>
      <c r="AY175" s="99"/>
      <c r="AZ175" s="97"/>
      <c r="BA175" s="97"/>
      <c r="BB175" s="829" t="s">
        <v>772</v>
      </c>
      <c r="BC175" s="815" t="s">
        <v>773</v>
      </c>
      <c r="BD175" s="831"/>
      <c r="BE175" s="644" t="s">
        <v>774</v>
      </c>
      <c r="BF175" s="647" t="s">
        <v>1634</v>
      </c>
      <c r="BG175" s="650"/>
    </row>
    <row r="176" spans="1:59" ht="103.5" customHeight="1">
      <c r="A176" s="636"/>
      <c r="B176" s="639"/>
      <c r="C176" s="661"/>
      <c r="D176" s="572"/>
      <c r="E176" s="572"/>
      <c r="F176" s="734"/>
      <c r="G176" s="472" t="s">
        <v>775</v>
      </c>
      <c r="H176" s="328" t="s">
        <v>67</v>
      </c>
      <c r="I176" s="472" t="s">
        <v>776</v>
      </c>
      <c r="J176" s="572"/>
      <c r="K176" s="565"/>
      <c r="L176" s="573"/>
      <c r="M176" s="565"/>
      <c r="N176" s="565"/>
      <c r="O176" s="472" t="s">
        <v>777</v>
      </c>
      <c r="P176" s="475" t="s">
        <v>775</v>
      </c>
      <c r="Q176" s="350" t="s">
        <v>72</v>
      </c>
      <c r="R176" s="332" t="s">
        <v>73</v>
      </c>
      <c r="S176" s="333">
        <f t="shared" si="238"/>
        <v>15</v>
      </c>
      <c r="T176" s="332" t="s">
        <v>73</v>
      </c>
      <c r="U176" s="333">
        <f t="shared" si="239"/>
        <v>15</v>
      </c>
      <c r="V176" s="332" t="s">
        <v>73</v>
      </c>
      <c r="W176" s="333">
        <f t="shared" si="240"/>
        <v>15</v>
      </c>
      <c r="X176" s="332" t="s">
        <v>72</v>
      </c>
      <c r="Y176" s="333">
        <f t="shared" si="241"/>
        <v>15</v>
      </c>
      <c r="Z176" s="332" t="s">
        <v>73</v>
      </c>
      <c r="AA176" s="333">
        <f t="shared" si="242"/>
        <v>15</v>
      </c>
      <c r="AB176" s="332" t="s">
        <v>73</v>
      </c>
      <c r="AC176" s="333">
        <f t="shared" si="243"/>
        <v>15</v>
      </c>
      <c r="AD176" s="332" t="s">
        <v>74</v>
      </c>
      <c r="AE176" s="333">
        <f t="shared" si="244"/>
        <v>10</v>
      </c>
      <c r="AF176" s="334">
        <f t="shared" si="245"/>
        <v>100</v>
      </c>
      <c r="AG176" s="334" t="str">
        <f t="shared" si="246"/>
        <v>Fuerte</v>
      </c>
      <c r="AH176" s="335" t="s">
        <v>75</v>
      </c>
      <c r="AI176" s="334" t="str">
        <f t="shared" si="247"/>
        <v>Fuerte</v>
      </c>
      <c r="AJ176" s="334" t="str">
        <f>IFERROR(VLOOKUP((CONCATENATE(AG176,AI176)),Listados!$U$3:$V$11,2,FALSE),"")</f>
        <v>Fuerte</v>
      </c>
      <c r="AK176" s="334">
        <f t="shared" si="248"/>
        <v>100</v>
      </c>
      <c r="AL176" s="558"/>
      <c r="AM176" s="558"/>
      <c r="AN176" s="558"/>
      <c r="AO176" s="558"/>
      <c r="AP176" s="567"/>
      <c r="AQ176" s="567"/>
      <c r="AR176" s="565"/>
      <c r="AS176" s="565"/>
      <c r="AT176" s="565"/>
      <c r="AU176" s="565"/>
      <c r="AV176" s="336"/>
      <c r="AW176" s="336"/>
      <c r="AX176" s="336"/>
      <c r="AY176" s="336"/>
      <c r="AZ176" s="336"/>
      <c r="BA176" s="336"/>
      <c r="BB176" s="830"/>
      <c r="BC176" s="815"/>
      <c r="BD176" s="832"/>
      <c r="BE176" s="645"/>
      <c r="BF176" s="648"/>
      <c r="BG176" s="651"/>
    </row>
    <row r="177" spans="1:59">
      <c r="A177" s="636"/>
      <c r="B177" s="639"/>
      <c r="C177" s="661"/>
      <c r="D177" s="572"/>
      <c r="E177" s="572"/>
      <c r="F177" s="734"/>
      <c r="G177" s="329"/>
      <c r="H177" s="337"/>
      <c r="I177" s="337"/>
      <c r="J177" s="572"/>
      <c r="K177" s="565"/>
      <c r="L177" s="573"/>
      <c r="M177" s="565"/>
      <c r="N177" s="565"/>
      <c r="O177" s="347"/>
      <c r="P177" s="73"/>
      <c r="Q177" s="348"/>
      <c r="R177" s="332"/>
      <c r="S177" s="333" t="str">
        <f t="shared" si="238"/>
        <v>0</v>
      </c>
      <c r="T177" s="332"/>
      <c r="U177" s="333" t="str">
        <f t="shared" si="239"/>
        <v>0</v>
      </c>
      <c r="V177" s="332"/>
      <c r="W177" s="333" t="str">
        <f t="shared" si="240"/>
        <v>0</v>
      </c>
      <c r="X177" s="332"/>
      <c r="Y177" s="333" t="str">
        <f t="shared" si="241"/>
        <v>0</v>
      </c>
      <c r="Z177" s="332"/>
      <c r="AA177" s="333" t="str">
        <f t="shared" si="242"/>
        <v>0</v>
      </c>
      <c r="AB177" s="332"/>
      <c r="AC177" s="333" t="str">
        <f t="shared" si="243"/>
        <v>0</v>
      </c>
      <c r="AD177" s="332"/>
      <c r="AE177" s="333" t="str">
        <f t="shared" si="244"/>
        <v>0</v>
      </c>
      <c r="AF177" s="334" t="str">
        <f t="shared" si="245"/>
        <v/>
      </c>
      <c r="AG177" s="334" t="str">
        <f t="shared" si="246"/>
        <v/>
      </c>
      <c r="AH177" s="335"/>
      <c r="AI177" s="334" t="str">
        <f t="shared" si="247"/>
        <v/>
      </c>
      <c r="AJ177" s="334" t="str">
        <f>IFERROR(VLOOKUP((CONCATENATE(AG177,AI177)),Listados!$U$3:$V$11,2,FALSE),"")</f>
        <v/>
      </c>
      <c r="AK177" s="334" t="str">
        <f t="shared" si="248"/>
        <v/>
      </c>
      <c r="AL177" s="558"/>
      <c r="AM177" s="558"/>
      <c r="AN177" s="558"/>
      <c r="AO177" s="558"/>
      <c r="AP177" s="567"/>
      <c r="AQ177" s="567"/>
      <c r="AR177" s="565"/>
      <c r="AS177" s="565"/>
      <c r="AT177" s="565"/>
      <c r="AU177" s="565"/>
      <c r="AV177" s="336"/>
      <c r="AW177" s="336"/>
      <c r="AX177" s="339"/>
      <c r="AY177" s="339"/>
      <c r="AZ177" s="336"/>
      <c r="BA177" s="336"/>
      <c r="BB177" s="830"/>
      <c r="BC177" s="815"/>
      <c r="BD177" s="832"/>
      <c r="BE177" s="645"/>
      <c r="BF177" s="648"/>
      <c r="BG177" s="651"/>
    </row>
    <row r="178" spans="1:59" ht="21" customHeight="1">
      <c r="A178" s="697"/>
      <c r="B178" s="695"/>
      <c r="C178" s="696"/>
      <c r="D178" s="548"/>
      <c r="E178" s="548"/>
      <c r="F178" s="733"/>
      <c r="G178" s="221"/>
      <c r="H178" s="228"/>
      <c r="I178" s="228"/>
      <c r="J178" s="548"/>
      <c r="K178" s="556"/>
      <c r="L178" s="554"/>
      <c r="M178" s="556"/>
      <c r="N178" s="556"/>
      <c r="O178" s="229"/>
      <c r="P178" s="206"/>
      <c r="Q178" s="230"/>
      <c r="R178" s="223"/>
      <c r="S178" s="224" t="str">
        <f t="shared" si="238"/>
        <v>0</v>
      </c>
      <c r="T178" s="223"/>
      <c r="U178" s="224" t="str">
        <f t="shared" si="239"/>
        <v>0</v>
      </c>
      <c r="V178" s="223"/>
      <c r="W178" s="224" t="str">
        <f t="shared" si="240"/>
        <v>0</v>
      </c>
      <c r="X178" s="223"/>
      <c r="Y178" s="224" t="str">
        <f t="shared" si="241"/>
        <v>0</v>
      </c>
      <c r="Z178" s="223"/>
      <c r="AA178" s="224" t="str">
        <f t="shared" si="242"/>
        <v>0</v>
      </c>
      <c r="AB178" s="223"/>
      <c r="AC178" s="224" t="str">
        <f t="shared" si="243"/>
        <v>0</v>
      </c>
      <c r="AD178" s="223"/>
      <c r="AE178" s="224" t="str">
        <f t="shared" si="244"/>
        <v>0</v>
      </c>
      <c r="AF178" s="225" t="str">
        <f t="shared" si="245"/>
        <v/>
      </c>
      <c r="AG178" s="225" t="str">
        <f t="shared" si="246"/>
        <v/>
      </c>
      <c r="AH178" s="226"/>
      <c r="AI178" s="225" t="str">
        <f t="shared" si="247"/>
        <v/>
      </c>
      <c r="AJ178" s="225" t="str">
        <f>IFERROR(VLOOKUP((CONCATENATE(AG178,AI178)),Listados!$U$3:$V$11,2,FALSE),"")</f>
        <v/>
      </c>
      <c r="AK178" s="225" t="str">
        <f t="shared" si="248"/>
        <v/>
      </c>
      <c r="AL178" s="563"/>
      <c r="AM178" s="563"/>
      <c r="AN178" s="563"/>
      <c r="AO178" s="563"/>
      <c r="AP178" s="567"/>
      <c r="AQ178" s="567"/>
      <c r="AR178" s="556"/>
      <c r="AS178" s="556"/>
      <c r="AT178" s="556"/>
      <c r="AU178" s="556"/>
      <c r="AV178" s="231"/>
      <c r="AW178" s="231"/>
      <c r="AX178" s="232"/>
      <c r="AY178" s="232"/>
      <c r="AZ178" s="231"/>
      <c r="BA178" s="231"/>
      <c r="BB178" s="830"/>
      <c r="BC178" s="816"/>
      <c r="BD178" s="832"/>
      <c r="BE178" s="645"/>
      <c r="BF178" s="648"/>
      <c r="BG178" s="651"/>
    </row>
    <row r="179" spans="1:59" ht="73.5" customHeight="1">
      <c r="A179" s="735">
        <v>43</v>
      </c>
      <c r="B179" s="738" t="s">
        <v>778</v>
      </c>
      <c r="C179" s="740" t="s">
        <v>779</v>
      </c>
      <c r="D179" s="742" t="s">
        <v>780</v>
      </c>
      <c r="E179" s="742" t="s">
        <v>221</v>
      </c>
      <c r="F179" s="742" t="s">
        <v>65</v>
      </c>
      <c r="G179" s="505" t="s">
        <v>781</v>
      </c>
      <c r="H179" s="505" t="s">
        <v>67</v>
      </c>
      <c r="I179" s="505" t="s">
        <v>782</v>
      </c>
      <c r="J179" s="742" t="s">
        <v>69</v>
      </c>
      <c r="K179" s="575">
        <f>+VLOOKUP(J179,Listados!$K$8:$L$12,2,0)</f>
        <v>5</v>
      </c>
      <c r="L179" s="744" t="s">
        <v>89</v>
      </c>
      <c r="M179" s="575">
        <f>+VLOOKUP(L179,Listados!$K$13:$L$17,2,0)</f>
        <v>3</v>
      </c>
      <c r="N179" s="575" t="str">
        <f>IF(AND(J179&lt;&gt;"",L179&lt;&gt;""),VLOOKUP(J179&amp;L179,Listados!$M$3:$N$27,2,FALSE),"")</f>
        <v>Extremo</v>
      </c>
      <c r="O179" s="506" t="s">
        <v>783</v>
      </c>
      <c r="P179" s="507" t="s">
        <v>784</v>
      </c>
      <c r="Q179" s="508" t="s">
        <v>72</v>
      </c>
      <c r="R179" s="509" t="s">
        <v>73</v>
      </c>
      <c r="S179" s="510">
        <f t="shared" si="238"/>
        <v>15</v>
      </c>
      <c r="T179" s="509" t="s">
        <v>73</v>
      </c>
      <c r="U179" s="510">
        <f t="shared" si="239"/>
        <v>15</v>
      </c>
      <c r="V179" s="509" t="s">
        <v>73</v>
      </c>
      <c r="W179" s="510">
        <f t="shared" si="240"/>
        <v>15</v>
      </c>
      <c r="X179" s="509" t="s">
        <v>72</v>
      </c>
      <c r="Y179" s="510">
        <f t="shared" si="241"/>
        <v>15</v>
      </c>
      <c r="Z179" s="509" t="s">
        <v>73</v>
      </c>
      <c r="AA179" s="510">
        <f t="shared" si="242"/>
        <v>15</v>
      </c>
      <c r="AB179" s="509" t="s">
        <v>73</v>
      </c>
      <c r="AC179" s="510">
        <f t="shared" si="243"/>
        <v>15</v>
      </c>
      <c r="AD179" s="509" t="s">
        <v>74</v>
      </c>
      <c r="AE179" s="510">
        <f t="shared" si="244"/>
        <v>10</v>
      </c>
      <c r="AF179" s="511">
        <f t="shared" si="245"/>
        <v>100</v>
      </c>
      <c r="AG179" s="511" t="str">
        <f t="shared" si="246"/>
        <v>Fuerte</v>
      </c>
      <c r="AH179" s="512" t="s">
        <v>75</v>
      </c>
      <c r="AI179" s="511" t="str">
        <f t="shared" si="247"/>
        <v>Fuerte</v>
      </c>
      <c r="AJ179" s="511" t="str">
        <f>IFERROR(VLOOKUP((CONCATENATE(AG179,AI179)),Listados!$U$3:$V$11,2,FALSE),"")</f>
        <v>Fuerte</v>
      </c>
      <c r="AK179" s="511">
        <f t="shared" si="248"/>
        <v>100</v>
      </c>
      <c r="AL179" s="561">
        <f t="shared" ref="AL179" si="303">AVERAGE(AK179:AK182)</f>
        <v>100</v>
      </c>
      <c r="AM179" s="561" t="str">
        <f t="shared" ref="AM179" si="304">IF(AL179&lt;=50,"Débil",IF(AL179&lt;=99,"Moderado",IF(AL179=100,"fuerte","")))</f>
        <v>fuerte</v>
      </c>
      <c r="AN179" s="561">
        <f t="shared" ref="AN179" si="305">+IF(AND(Q179="Preventivo",AM179="Fuerte"),2,IF(AND(Q179="Preventivo",AM179="Moderado"),1,0))</f>
        <v>2</v>
      </c>
      <c r="AO179" s="561">
        <f t="shared" ref="AO179" si="306">+IF(AND(Q179="Detectivo",$AM179="Fuerte"),2,IF(AND(Q179="Detectivo",$AM179="Moderado"),1,IF(AND(Q179="Preventivo",$AM179="Fuerte"),1,0)))</f>
        <v>1</v>
      </c>
      <c r="AP179" s="577">
        <f t="shared" ref="AP179" si="307">+K179-AN179</f>
        <v>3</v>
      </c>
      <c r="AQ179" s="577">
        <f t="shared" ref="AQ179" si="308">+M179-AO179</f>
        <v>2</v>
      </c>
      <c r="AR179" s="575" t="str">
        <f>+VLOOKUP(MIN(AP179),Listados!$J$18:$K$24,2,TRUE)</f>
        <v>Posible</v>
      </c>
      <c r="AS179" s="575" t="str">
        <f>+VLOOKUP(MIN(AQ179),Listados!$J$26:$K$32,2,TRUE)</f>
        <v>Menor</v>
      </c>
      <c r="AT179" s="575" t="str">
        <f>IF(AND(AR179&lt;&gt;"",AS179&lt;&gt;""),VLOOKUP(AR179&amp;AS179,Listados!$M$3:$N$27,2,FALSE),"")</f>
        <v>Moderado</v>
      </c>
      <c r="AU179" s="575" t="str">
        <f>+VLOOKUP(AT179,Listados!$P$3:$Q$6,2,FALSE)</f>
        <v>Asumir el riesgo</v>
      </c>
      <c r="AV179" s="513" t="s">
        <v>785</v>
      </c>
      <c r="AW179" s="513" t="s">
        <v>786</v>
      </c>
      <c r="AX179" s="514">
        <v>45778</v>
      </c>
      <c r="AY179" s="515">
        <v>46022</v>
      </c>
      <c r="AZ179" s="513" t="s">
        <v>787</v>
      </c>
      <c r="BA179" s="513" t="s">
        <v>788</v>
      </c>
      <c r="BB179" s="833" t="s">
        <v>789</v>
      </c>
      <c r="BC179" s="833" t="s">
        <v>790</v>
      </c>
      <c r="BD179" s="835"/>
      <c r="BE179" s="837" t="s">
        <v>1636</v>
      </c>
      <c r="BF179" s="839" t="s">
        <v>1635</v>
      </c>
      <c r="BG179" s="841"/>
    </row>
    <row r="180" spans="1:59" ht="60.75" customHeight="1">
      <c r="A180" s="736"/>
      <c r="B180" s="639"/>
      <c r="C180" s="661"/>
      <c r="D180" s="572"/>
      <c r="E180" s="572"/>
      <c r="F180" s="572"/>
      <c r="G180" s="329" t="s">
        <v>792</v>
      </c>
      <c r="H180" s="329" t="s">
        <v>67</v>
      </c>
      <c r="I180" s="329" t="s">
        <v>782</v>
      </c>
      <c r="J180" s="572"/>
      <c r="K180" s="565"/>
      <c r="L180" s="573"/>
      <c r="M180" s="565"/>
      <c r="N180" s="565"/>
      <c r="O180" s="354"/>
      <c r="P180" s="330"/>
      <c r="Q180" s="350"/>
      <c r="R180" s="332"/>
      <c r="S180" s="333" t="str">
        <f t="shared" si="238"/>
        <v>0</v>
      </c>
      <c r="T180" s="332"/>
      <c r="U180" s="333" t="str">
        <f t="shared" si="239"/>
        <v>0</v>
      </c>
      <c r="V180" s="332"/>
      <c r="W180" s="333" t="str">
        <f t="shared" si="240"/>
        <v>0</v>
      </c>
      <c r="X180" s="332"/>
      <c r="Y180" s="333" t="str">
        <f t="shared" si="241"/>
        <v>0</v>
      </c>
      <c r="Z180" s="332"/>
      <c r="AA180" s="333" t="str">
        <f t="shared" si="242"/>
        <v>0</v>
      </c>
      <c r="AB180" s="332"/>
      <c r="AC180" s="333" t="str">
        <f t="shared" si="243"/>
        <v>0</v>
      </c>
      <c r="AD180" s="332"/>
      <c r="AE180" s="333" t="str">
        <f t="shared" si="244"/>
        <v>0</v>
      </c>
      <c r="AF180" s="334" t="str">
        <f t="shared" si="245"/>
        <v/>
      </c>
      <c r="AG180" s="334" t="str">
        <f t="shared" si="246"/>
        <v/>
      </c>
      <c r="AH180" s="335"/>
      <c r="AI180" s="334" t="str">
        <f t="shared" si="247"/>
        <v/>
      </c>
      <c r="AJ180" s="334" t="str">
        <f>IFERROR(VLOOKUP((CONCATENATE(AG180,AI180)),Listados!$U$3:$V$11,2,FALSE),"")</f>
        <v/>
      </c>
      <c r="AK180" s="334" t="str">
        <f t="shared" si="248"/>
        <v/>
      </c>
      <c r="AL180" s="558"/>
      <c r="AM180" s="558"/>
      <c r="AN180" s="558"/>
      <c r="AO180" s="558"/>
      <c r="AP180" s="567"/>
      <c r="AQ180" s="567"/>
      <c r="AR180" s="565"/>
      <c r="AS180" s="565"/>
      <c r="AT180" s="565"/>
      <c r="AU180" s="565"/>
      <c r="AV180" s="336" t="s">
        <v>793</v>
      </c>
      <c r="AW180" s="336" t="s">
        <v>794</v>
      </c>
      <c r="AX180" s="339">
        <v>45778</v>
      </c>
      <c r="AY180" s="361">
        <v>46022</v>
      </c>
      <c r="AZ180" s="336" t="s">
        <v>787</v>
      </c>
      <c r="BA180" s="336" t="s">
        <v>795</v>
      </c>
      <c r="BB180" s="787"/>
      <c r="BC180" s="787"/>
      <c r="BD180" s="790"/>
      <c r="BE180" s="645"/>
      <c r="BF180" s="648"/>
      <c r="BG180" s="842"/>
    </row>
    <row r="181" spans="1:59" ht="36" customHeight="1">
      <c r="A181" s="736"/>
      <c r="B181" s="639"/>
      <c r="C181" s="661"/>
      <c r="D181" s="572"/>
      <c r="E181" s="572"/>
      <c r="F181" s="572"/>
      <c r="G181" s="329"/>
      <c r="H181" s="337"/>
      <c r="I181" s="337"/>
      <c r="J181" s="572"/>
      <c r="K181" s="565"/>
      <c r="L181" s="573"/>
      <c r="M181" s="565"/>
      <c r="N181" s="565"/>
      <c r="O181" s="347"/>
      <c r="P181" s="338"/>
      <c r="Q181" s="348"/>
      <c r="R181" s="332"/>
      <c r="S181" s="333" t="str">
        <f t="shared" si="238"/>
        <v>0</v>
      </c>
      <c r="T181" s="332"/>
      <c r="U181" s="333" t="str">
        <f t="shared" si="239"/>
        <v>0</v>
      </c>
      <c r="V181" s="332"/>
      <c r="W181" s="333" t="str">
        <f t="shared" si="240"/>
        <v>0</v>
      </c>
      <c r="X181" s="332"/>
      <c r="Y181" s="333" t="str">
        <f t="shared" si="241"/>
        <v>0</v>
      </c>
      <c r="Z181" s="332"/>
      <c r="AA181" s="333" t="str">
        <f t="shared" si="242"/>
        <v>0</v>
      </c>
      <c r="AB181" s="332"/>
      <c r="AC181" s="333" t="str">
        <f t="shared" si="243"/>
        <v>0</v>
      </c>
      <c r="AD181" s="332"/>
      <c r="AE181" s="333" t="str">
        <f t="shared" si="244"/>
        <v>0</v>
      </c>
      <c r="AF181" s="334" t="str">
        <f t="shared" si="245"/>
        <v/>
      </c>
      <c r="AG181" s="334" t="str">
        <f t="shared" si="246"/>
        <v/>
      </c>
      <c r="AH181" s="335"/>
      <c r="AI181" s="334" t="str">
        <f t="shared" si="247"/>
        <v/>
      </c>
      <c r="AJ181" s="334" t="str">
        <f>IFERROR(VLOOKUP((CONCATENATE(AG181,AI181)),Listados!$U$3:$V$11,2,FALSE),"")</f>
        <v/>
      </c>
      <c r="AK181" s="334" t="str">
        <f t="shared" si="248"/>
        <v/>
      </c>
      <c r="AL181" s="558"/>
      <c r="AM181" s="558"/>
      <c r="AN181" s="558"/>
      <c r="AO181" s="558"/>
      <c r="AP181" s="567"/>
      <c r="AQ181" s="567"/>
      <c r="AR181" s="565"/>
      <c r="AS181" s="565"/>
      <c r="AT181" s="565"/>
      <c r="AU181" s="565"/>
      <c r="AV181" s="336"/>
      <c r="AW181" s="336"/>
      <c r="AX181" s="339"/>
      <c r="AY181" s="339"/>
      <c r="AZ181" s="336"/>
      <c r="BA181" s="336"/>
      <c r="BB181" s="787"/>
      <c r="BC181" s="787"/>
      <c r="BD181" s="790"/>
      <c r="BE181" s="645"/>
      <c r="BF181" s="648"/>
      <c r="BG181" s="842"/>
    </row>
    <row r="182" spans="1:59" ht="27" customHeight="1">
      <c r="A182" s="737"/>
      <c r="B182" s="739"/>
      <c r="C182" s="741"/>
      <c r="D182" s="743"/>
      <c r="E182" s="743"/>
      <c r="F182" s="743"/>
      <c r="G182" s="516"/>
      <c r="H182" s="517"/>
      <c r="I182" s="517"/>
      <c r="J182" s="743"/>
      <c r="K182" s="576"/>
      <c r="L182" s="745"/>
      <c r="M182" s="576"/>
      <c r="N182" s="576"/>
      <c r="O182" s="518"/>
      <c r="P182" s="519"/>
      <c r="Q182" s="520"/>
      <c r="R182" s="521"/>
      <c r="S182" s="522" t="str">
        <f t="shared" si="238"/>
        <v>0</v>
      </c>
      <c r="T182" s="521"/>
      <c r="U182" s="522" t="str">
        <f t="shared" si="239"/>
        <v>0</v>
      </c>
      <c r="V182" s="521"/>
      <c r="W182" s="522" t="str">
        <f t="shared" si="240"/>
        <v>0</v>
      </c>
      <c r="X182" s="521"/>
      <c r="Y182" s="522" t="str">
        <f t="shared" si="241"/>
        <v>0</v>
      </c>
      <c r="Z182" s="521"/>
      <c r="AA182" s="522" t="str">
        <f t="shared" si="242"/>
        <v>0</v>
      </c>
      <c r="AB182" s="521"/>
      <c r="AC182" s="522" t="str">
        <f t="shared" si="243"/>
        <v>0</v>
      </c>
      <c r="AD182" s="521"/>
      <c r="AE182" s="522" t="str">
        <f t="shared" si="244"/>
        <v>0</v>
      </c>
      <c r="AF182" s="523" t="str">
        <f t="shared" si="245"/>
        <v/>
      </c>
      <c r="AG182" s="523" t="str">
        <f t="shared" si="246"/>
        <v/>
      </c>
      <c r="AH182" s="524"/>
      <c r="AI182" s="523" t="str">
        <f t="shared" si="247"/>
        <v/>
      </c>
      <c r="AJ182" s="523" t="str">
        <f>IFERROR(VLOOKUP((CONCATENATE(AG182,AI182)),Listados!$U$3:$V$11,2,FALSE),"")</f>
        <v/>
      </c>
      <c r="AK182" s="523" t="str">
        <f t="shared" si="248"/>
        <v/>
      </c>
      <c r="AL182" s="562"/>
      <c r="AM182" s="562"/>
      <c r="AN182" s="562"/>
      <c r="AO182" s="562"/>
      <c r="AP182" s="578"/>
      <c r="AQ182" s="578"/>
      <c r="AR182" s="576"/>
      <c r="AS182" s="576"/>
      <c r="AT182" s="576"/>
      <c r="AU182" s="576"/>
      <c r="AV182" s="525"/>
      <c r="AW182" s="525"/>
      <c r="AX182" s="526"/>
      <c r="AY182" s="526"/>
      <c r="AZ182" s="525"/>
      <c r="BA182" s="525"/>
      <c r="BB182" s="834"/>
      <c r="BC182" s="834"/>
      <c r="BD182" s="836"/>
      <c r="BE182" s="838"/>
      <c r="BF182" s="840"/>
      <c r="BG182" s="843"/>
    </row>
    <row r="183" spans="1:59" ht="92.25" customHeight="1">
      <c r="A183" s="746">
        <v>44</v>
      </c>
      <c r="B183" s="748" t="s">
        <v>796</v>
      </c>
      <c r="C183" s="750" t="s">
        <v>797</v>
      </c>
      <c r="D183" s="579" t="s">
        <v>798</v>
      </c>
      <c r="E183" s="579" t="s">
        <v>221</v>
      </c>
      <c r="F183" s="579" t="s">
        <v>65</v>
      </c>
      <c r="G183" s="144" t="s">
        <v>799</v>
      </c>
      <c r="H183" s="72" t="s">
        <v>67</v>
      </c>
      <c r="I183" s="72" t="s">
        <v>800</v>
      </c>
      <c r="J183" s="579" t="s">
        <v>412</v>
      </c>
      <c r="K183" s="557">
        <f>+VLOOKUP(J183,Listados!$K$8:$L$12,2,0)</f>
        <v>1</v>
      </c>
      <c r="L183" s="580" t="s">
        <v>326</v>
      </c>
      <c r="M183" s="557">
        <f>+VLOOKUP(L183,Listados!$K$13:$L$17,2,0)</f>
        <v>4</v>
      </c>
      <c r="N183" s="582" t="str">
        <f>IF(AND(J183&lt;&gt;"",L183&lt;&gt;""),VLOOKUP(J183&amp;L183,Listados!$M$3:$N$27,2,FALSE),"")</f>
        <v>Alto</v>
      </c>
      <c r="O183" s="144" t="s">
        <v>801</v>
      </c>
      <c r="P183" s="211" t="s">
        <v>799</v>
      </c>
      <c r="Q183" s="74" t="s">
        <v>83</v>
      </c>
      <c r="R183" s="44" t="s">
        <v>73</v>
      </c>
      <c r="S183" s="53">
        <f t="shared" si="238"/>
        <v>15</v>
      </c>
      <c r="T183" s="44" t="s">
        <v>73</v>
      </c>
      <c r="U183" s="53">
        <f t="shared" si="239"/>
        <v>15</v>
      </c>
      <c r="V183" s="44" t="s">
        <v>73</v>
      </c>
      <c r="W183" s="53">
        <f t="shared" si="240"/>
        <v>15</v>
      </c>
      <c r="X183" s="44" t="s">
        <v>83</v>
      </c>
      <c r="Y183" s="53">
        <f t="shared" si="241"/>
        <v>10</v>
      </c>
      <c r="Z183" s="44" t="s">
        <v>73</v>
      </c>
      <c r="AA183" s="53">
        <f t="shared" si="242"/>
        <v>15</v>
      </c>
      <c r="AB183" s="44" t="s">
        <v>73</v>
      </c>
      <c r="AC183" s="53">
        <f t="shared" si="243"/>
        <v>15</v>
      </c>
      <c r="AD183" s="44" t="s">
        <v>74</v>
      </c>
      <c r="AE183" s="53">
        <f t="shared" si="244"/>
        <v>10</v>
      </c>
      <c r="AF183" s="71">
        <f t="shared" si="245"/>
        <v>95</v>
      </c>
      <c r="AG183" s="71" t="str">
        <f t="shared" si="246"/>
        <v>Moderado</v>
      </c>
      <c r="AH183" s="75" t="s">
        <v>75</v>
      </c>
      <c r="AI183" s="71" t="str">
        <f t="shared" si="247"/>
        <v>Fuerte</v>
      </c>
      <c r="AJ183" s="71" t="str">
        <f>IFERROR(VLOOKUP((CONCATENATE(AG183,AI183)),Listados!$U$3:$V$11,2,FALSE),"")</f>
        <v>Moderado</v>
      </c>
      <c r="AK183" s="71">
        <f t="shared" si="248"/>
        <v>50</v>
      </c>
      <c r="AL183" s="567">
        <f>AVERAGE(AK183:AK187)</f>
        <v>90</v>
      </c>
      <c r="AM183" s="567" t="str">
        <f t="shared" ref="AM183" si="309">IF(AL183&lt;=50,"Débil",IF(AL183&lt;=99,"Moderado",IF(AL183=100,"fuerte","")))</f>
        <v>Moderado</v>
      </c>
      <c r="AN183" s="567">
        <f t="shared" ref="AN183" si="310">+IF(AND(Q183="Preventivo",AM183="Fuerte"),2,IF(AND(Q183="Preventivo",AM183="Moderado"),1,0))</f>
        <v>0</v>
      </c>
      <c r="AO183" s="567">
        <f t="shared" ref="AO183" si="311">+IF(AND(Q183="Detectivo",$AM183="Fuerte"),2,IF(AND(Q183="Detectivo",$AM183="Moderado"),1,IF(AND(Q183="Preventivo",$AM183="Fuerte"),1,0)))</f>
        <v>1</v>
      </c>
      <c r="AP183" s="567">
        <f t="shared" ref="AP183" si="312">+K183-AN183</f>
        <v>1</v>
      </c>
      <c r="AQ183" s="567">
        <f t="shared" ref="AQ183" si="313">+M183-AO183</f>
        <v>3</v>
      </c>
      <c r="AR183" s="582" t="str">
        <f>+VLOOKUP(MIN(AP183),Listados!$J$18:$K$24,2,TRUE)</f>
        <v>Rara Vez</v>
      </c>
      <c r="AS183" s="582" t="str">
        <f>+VLOOKUP(MIN(AQ183),Listados!$J$26:$K$32,2,TRUE)</f>
        <v>Moderado</v>
      </c>
      <c r="AT183" s="582" t="str">
        <f>IF(AND(AR183&lt;&gt;"",AS183&lt;&gt;""),VLOOKUP(AR183&amp;AS183,Listados!$M$3:$N$27,2,FALSE),"")</f>
        <v>Moderado</v>
      </c>
      <c r="AU183" s="582" t="str">
        <f>+VLOOKUP(AT183,Listados!$P$3:$Q$6,2,FALSE)</f>
        <v>Asumir el riesgo</v>
      </c>
      <c r="AV183" s="76" t="s">
        <v>802</v>
      </c>
      <c r="AW183" s="76" t="s">
        <v>803</v>
      </c>
      <c r="AX183" s="77">
        <v>45658</v>
      </c>
      <c r="AY183" s="78">
        <v>46022</v>
      </c>
      <c r="AZ183" s="76" t="s">
        <v>804</v>
      </c>
      <c r="BA183" s="76" t="s">
        <v>805</v>
      </c>
      <c r="BB183" s="809" t="s">
        <v>806</v>
      </c>
      <c r="BC183" s="787" t="s">
        <v>807</v>
      </c>
      <c r="BD183" s="790"/>
      <c r="BE183" s="766" t="s">
        <v>808</v>
      </c>
      <c r="BF183" s="648" t="s">
        <v>1637</v>
      </c>
      <c r="BG183" s="779"/>
    </row>
    <row r="184" spans="1:59" ht="60">
      <c r="A184" s="746"/>
      <c r="B184" s="748"/>
      <c r="C184" s="750"/>
      <c r="D184" s="579"/>
      <c r="E184" s="579"/>
      <c r="F184" s="579"/>
      <c r="G184" s="342" t="s">
        <v>809</v>
      </c>
      <c r="H184" s="72" t="s">
        <v>67</v>
      </c>
      <c r="I184" s="337" t="s">
        <v>810</v>
      </c>
      <c r="J184" s="579"/>
      <c r="K184" s="565"/>
      <c r="L184" s="580"/>
      <c r="M184" s="565"/>
      <c r="N184" s="582"/>
      <c r="O184" s="337" t="s">
        <v>811</v>
      </c>
      <c r="P184" s="372" t="s">
        <v>809</v>
      </c>
      <c r="Q184" s="350" t="s">
        <v>72</v>
      </c>
      <c r="R184" s="44" t="s">
        <v>73</v>
      </c>
      <c r="S184" s="333">
        <f t="shared" si="238"/>
        <v>15</v>
      </c>
      <c r="T184" s="44" t="s">
        <v>73</v>
      </c>
      <c r="U184" s="333">
        <f t="shared" si="239"/>
        <v>15</v>
      </c>
      <c r="V184" s="44" t="s">
        <v>73</v>
      </c>
      <c r="W184" s="333">
        <f t="shared" si="240"/>
        <v>15</v>
      </c>
      <c r="X184" s="332" t="s">
        <v>72</v>
      </c>
      <c r="Y184" s="333">
        <f t="shared" si="241"/>
        <v>15</v>
      </c>
      <c r="Z184" s="44" t="s">
        <v>73</v>
      </c>
      <c r="AA184" s="333">
        <f t="shared" si="242"/>
        <v>15</v>
      </c>
      <c r="AB184" s="44" t="s">
        <v>73</v>
      </c>
      <c r="AC184" s="333">
        <f t="shared" si="243"/>
        <v>15</v>
      </c>
      <c r="AD184" s="44" t="s">
        <v>74</v>
      </c>
      <c r="AE184" s="333">
        <f t="shared" si="244"/>
        <v>10</v>
      </c>
      <c r="AF184" s="334">
        <f t="shared" si="245"/>
        <v>100</v>
      </c>
      <c r="AG184" s="334" t="str">
        <f t="shared" si="246"/>
        <v>Fuerte</v>
      </c>
      <c r="AH184" s="75" t="s">
        <v>75</v>
      </c>
      <c r="AI184" s="334" t="str">
        <f t="shared" si="247"/>
        <v>Fuerte</v>
      </c>
      <c r="AJ184" s="334" t="str">
        <f>IFERROR(VLOOKUP((CONCATENATE(AG184,AI184)),Listados!$U$3:$V$11,2,FALSE),"")</f>
        <v>Fuerte</v>
      </c>
      <c r="AK184" s="334">
        <f t="shared" si="248"/>
        <v>100</v>
      </c>
      <c r="AL184" s="567"/>
      <c r="AM184" s="567"/>
      <c r="AN184" s="567"/>
      <c r="AO184" s="567"/>
      <c r="AP184" s="567"/>
      <c r="AQ184" s="567"/>
      <c r="AR184" s="582"/>
      <c r="AS184" s="582"/>
      <c r="AT184" s="582"/>
      <c r="AU184" s="582"/>
      <c r="AV184" s="336" t="s">
        <v>812</v>
      </c>
      <c r="AW184" s="336" t="s">
        <v>813</v>
      </c>
      <c r="AX184" s="339">
        <v>45658</v>
      </c>
      <c r="AY184" s="339">
        <v>46022</v>
      </c>
      <c r="AZ184" s="336" t="s">
        <v>814</v>
      </c>
      <c r="BA184" s="336" t="s">
        <v>815</v>
      </c>
      <c r="BB184" s="809"/>
      <c r="BC184" s="787"/>
      <c r="BD184" s="790"/>
      <c r="BE184" s="766"/>
      <c r="BF184" s="648"/>
      <c r="BG184" s="779"/>
    </row>
    <row r="185" spans="1:59" ht="70.5" customHeight="1">
      <c r="A185" s="746"/>
      <c r="B185" s="748"/>
      <c r="C185" s="750"/>
      <c r="D185" s="579"/>
      <c r="E185" s="579"/>
      <c r="F185" s="579"/>
      <c r="G185" s="342" t="s">
        <v>816</v>
      </c>
      <c r="H185" s="72" t="s">
        <v>67</v>
      </c>
      <c r="I185" s="337" t="s">
        <v>817</v>
      </c>
      <c r="J185" s="579"/>
      <c r="K185" s="565"/>
      <c r="L185" s="580"/>
      <c r="M185" s="565"/>
      <c r="N185" s="582"/>
      <c r="O185" s="337" t="s">
        <v>818</v>
      </c>
      <c r="P185" s="373" t="s">
        <v>816</v>
      </c>
      <c r="Q185" s="350" t="s">
        <v>72</v>
      </c>
      <c r="R185" s="44" t="s">
        <v>73</v>
      </c>
      <c r="S185" s="333">
        <f t="shared" si="238"/>
        <v>15</v>
      </c>
      <c r="T185" s="44" t="s">
        <v>73</v>
      </c>
      <c r="U185" s="333">
        <f t="shared" si="239"/>
        <v>15</v>
      </c>
      <c r="V185" s="44" t="s">
        <v>73</v>
      </c>
      <c r="W185" s="333">
        <f t="shared" si="240"/>
        <v>15</v>
      </c>
      <c r="X185" s="332" t="s">
        <v>72</v>
      </c>
      <c r="Y185" s="333">
        <f t="shared" si="241"/>
        <v>15</v>
      </c>
      <c r="Z185" s="44" t="s">
        <v>73</v>
      </c>
      <c r="AA185" s="333">
        <f t="shared" si="242"/>
        <v>15</v>
      </c>
      <c r="AB185" s="44" t="s">
        <v>73</v>
      </c>
      <c r="AC185" s="333">
        <f t="shared" si="243"/>
        <v>15</v>
      </c>
      <c r="AD185" s="44" t="s">
        <v>74</v>
      </c>
      <c r="AE185" s="333">
        <f t="shared" si="244"/>
        <v>10</v>
      </c>
      <c r="AF185" s="334">
        <f t="shared" si="245"/>
        <v>100</v>
      </c>
      <c r="AG185" s="334" t="str">
        <f t="shared" si="246"/>
        <v>Fuerte</v>
      </c>
      <c r="AH185" s="75" t="s">
        <v>75</v>
      </c>
      <c r="AI185" s="334" t="str">
        <f t="shared" si="247"/>
        <v>Fuerte</v>
      </c>
      <c r="AJ185" s="334" t="str">
        <f>IFERROR(VLOOKUP((CONCATENATE(AG185,AI185)),Listados!$U$3:$V$11,2,FALSE),"")</f>
        <v>Fuerte</v>
      </c>
      <c r="AK185" s="334">
        <f t="shared" si="248"/>
        <v>100</v>
      </c>
      <c r="AL185" s="567"/>
      <c r="AM185" s="567"/>
      <c r="AN185" s="567"/>
      <c r="AO185" s="567"/>
      <c r="AP185" s="567"/>
      <c r="AQ185" s="567"/>
      <c r="AR185" s="582"/>
      <c r="AS185" s="582"/>
      <c r="AT185" s="582"/>
      <c r="AU185" s="582"/>
      <c r="AV185" s="336"/>
      <c r="AW185" s="336"/>
      <c r="AX185" s="339"/>
      <c r="AY185" s="339"/>
      <c r="AZ185" s="336"/>
      <c r="BA185" s="336"/>
      <c r="BB185" s="809"/>
      <c r="BC185" s="787"/>
      <c r="BD185" s="790"/>
      <c r="BE185" s="766"/>
      <c r="BF185" s="648"/>
      <c r="BG185" s="779"/>
    </row>
    <row r="186" spans="1:59" ht="117" customHeight="1">
      <c r="A186" s="746"/>
      <c r="B186" s="748"/>
      <c r="C186" s="750"/>
      <c r="D186" s="579"/>
      <c r="E186" s="579"/>
      <c r="F186" s="579"/>
      <c r="G186" s="342" t="s">
        <v>819</v>
      </c>
      <c r="H186" s="72" t="s">
        <v>67</v>
      </c>
      <c r="I186" s="337" t="s">
        <v>820</v>
      </c>
      <c r="J186" s="579"/>
      <c r="K186" s="565"/>
      <c r="L186" s="580"/>
      <c r="M186" s="565"/>
      <c r="N186" s="582"/>
      <c r="O186" s="337" t="s">
        <v>821</v>
      </c>
      <c r="P186" s="373" t="s">
        <v>819</v>
      </c>
      <c r="Q186" s="350" t="s">
        <v>72</v>
      </c>
      <c r="R186" s="44" t="s">
        <v>73</v>
      </c>
      <c r="S186" s="333">
        <f t="shared" si="238"/>
        <v>15</v>
      </c>
      <c r="T186" s="44" t="s">
        <v>73</v>
      </c>
      <c r="U186" s="333">
        <f t="shared" si="239"/>
        <v>15</v>
      </c>
      <c r="V186" s="44" t="s">
        <v>73</v>
      </c>
      <c r="W186" s="333">
        <f t="shared" si="240"/>
        <v>15</v>
      </c>
      <c r="X186" s="332" t="s">
        <v>72</v>
      </c>
      <c r="Y186" s="333">
        <f t="shared" si="241"/>
        <v>15</v>
      </c>
      <c r="Z186" s="44" t="s">
        <v>73</v>
      </c>
      <c r="AA186" s="333">
        <f t="shared" si="242"/>
        <v>15</v>
      </c>
      <c r="AB186" s="44" t="s">
        <v>73</v>
      </c>
      <c r="AC186" s="333">
        <f t="shared" si="243"/>
        <v>15</v>
      </c>
      <c r="AD186" s="44" t="s">
        <v>74</v>
      </c>
      <c r="AE186" s="333">
        <f t="shared" si="244"/>
        <v>10</v>
      </c>
      <c r="AF186" s="334">
        <f t="shared" si="245"/>
        <v>100</v>
      </c>
      <c r="AG186" s="334" t="str">
        <f t="shared" si="246"/>
        <v>Fuerte</v>
      </c>
      <c r="AH186" s="75" t="s">
        <v>75</v>
      </c>
      <c r="AI186" s="334" t="str">
        <f t="shared" si="247"/>
        <v>Fuerte</v>
      </c>
      <c r="AJ186" s="334" t="str">
        <f>IFERROR(VLOOKUP((CONCATENATE(AG186,AI186)),Listados!$U$3:$V$11,2,FALSE),"")</f>
        <v>Fuerte</v>
      </c>
      <c r="AK186" s="334">
        <f t="shared" si="248"/>
        <v>100</v>
      </c>
      <c r="AL186" s="567"/>
      <c r="AM186" s="567"/>
      <c r="AN186" s="567"/>
      <c r="AO186" s="567"/>
      <c r="AP186" s="564"/>
      <c r="AQ186" s="564"/>
      <c r="AR186" s="582"/>
      <c r="AS186" s="582"/>
      <c r="AT186" s="582"/>
      <c r="AU186" s="582"/>
      <c r="AV186" s="336"/>
      <c r="AW186" s="336"/>
      <c r="AX186" s="339"/>
      <c r="AY186" s="339"/>
      <c r="AZ186" s="336"/>
      <c r="BA186" s="336"/>
      <c r="BB186" s="809"/>
      <c r="BC186" s="787"/>
      <c r="BD186" s="790"/>
      <c r="BE186" s="766"/>
      <c r="BF186" s="648"/>
      <c r="BG186" s="779"/>
    </row>
    <row r="187" spans="1:59" ht="113.25" customHeight="1" thickBot="1">
      <c r="A187" s="747"/>
      <c r="B187" s="749"/>
      <c r="C187" s="751"/>
      <c r="D187" s="549"/>
      <c r="E187" s="549"/>
      <c r="F187" s="549"/>
      <c r="G187" s="268" t="s">
        <v>822</v>
      </c>
      <c r="H187" s="210" t="s">
        <v>67</v>
      </c>
      <c r="I187" s="257" t="s">
        <v>823</v>
      </c>
      <c r="J187" s="549"/>
      <c r="K187" s="261"/>
      <c r="L187" s="581"/>
      <c r="M187" s="261"/>
      <c r="N187" s="583"/>
      <c r="O187" s="257" t="s">
        <v>824</v>
      </c>
      <c r="P187" s="275" t="s">
        <v>822</v>
      </c>
      <c r="Q187" s="276" t="s">
        <v>72</v>
      </c>
      <c r="R187" s="102" t="s">
        <v>73</v>
      </c>
      <c r="S187" s="261">
        <f t="shared" si="238"/>
        <v>15</v>
      </c>
      <c r="T187" s="102" t="s">
        <v>73</v>
      </c>
      <c r="U187" s="261">
        <f t="shared" si="239"/>
        <v>15</v>
      </c>
      <c r="V187" s="102" t="s">
        <v>73</v>
      </c>
      <c r="W187" s="261">
        <f t="shared" si="240"/>
        <v>15</v>
      </c>
      <c r="X187" s="260" t="s">
        <v>72</v>
      </c>
      <c r="Y187" s="261">
        <f t="shared" si="241"/>
        <v>15</v>
      </c>
      <c r="Z187" s="102" t="s">
        <v>73</v>
      </c>
      <c r="AA187" s="261">
        <f t="shared" si="242"/>
        <v>15</v>
      </c>
      <c r="AB187" s="102" t="s">
        <v>73</v>
      </c>
      <c r="AC187" s="261">
        <f t="shared" si="243"/>
        <v>15</v>
      </c>
      <c r="AD187" s="102" t="s">
        <v>74</v>
      </c>
      <c r="AE187" s="261">
        <f t="shared" si="244"/>
        <v>10</v>
      </c>
      <c r="AF187" s="262">
        <f t="shared" si="245"/>
        <v>100</v>
      </c>
      <c r="AG187" s="262" t="str">
        <f t="shared" si="246"/>
        <v>Fuerte</v>
      </c>
      <c r="AH187" s="104" t="s">
        <v>75</v>
      </c>
      <c r="AI187" s="262" t="str">
        <f t="shared" si="247"/>
        <v>Fuerte</v>
      </c>
      <c r="AJ187" s="262" t="str">
        <f>IFERROR(VLOOKUP((CONCATENATE(AG187,AI187)),Listados!$U$3:$V$11,2,FALSE),"")</f>
        <v>Fuerte</v>
      </c>
      <c r="AK187" s="262">
        <f t="shared" si="248"/>
        <v>100</v>
      </c>
      <c r="AL187" s="568"/>
      <c r="AM187" s="568"/>
      <c r="AN187" s="568"/>
      <c r="AO187" s="568"/>
      <c r="AP187" s="103"/>
      <c r="AQ187" s="103"/>
      <c r="AR187" s="583"/>
      <c r="AS187" s="583"/>
      <c r="AT187" s="583"/>
      <c r="AU187" s="583"/>
      <c r="AV187" s="249"/>
      <c r="AW187" s="249"/>
      <c r="AX187" s="250"/>
      <c r="AY187" s="250"/>
      <c r="AZ187" s="249"/>
      <c r="BA187" s="249"/>
      <c r="BB187" s="810"/>
      <c r="BC187" s="788"/>
      <c r="BD187" s="791"/>
      <c r="BE187" s="844"/>
      <c r="BF187" s="649"/>
      <c r="BG187" s="847"/>
    </row>
    <row r="188" spans="1:59" ht="92.25" customHeight="1">
      <c r="A188" s="752">
        <v>45</v>
      </c>
      <c r="B188" s="638" t="s">
        <v>796</v>
      </c>
      <c r="C188" s="691" t="s">
        <v>797</v>
      </c>
      <c r="D188" s="584" t="s">
        <v>825</v>
      </c>
      <c r="E188" s="584" t="s">
        <v>85</v>
      </c>
      <c r="F188" s="584" t="s">
        <v>65</v>
      </c>
      <c r="G188" s="141" t="s">
        <v>826</v>
      </c>
      <c r="H188" s="128" t="s">
        <v>67</v>
      </c>
      <c r="I188" s="128" t="s">
        <v>823</v>
      </c>
      <c r="J188" s="584" t="s">
        <v>180</v>
      </c>
      <c r="K188" s="569">
        <f>+VLOOKUP(J188,Listados!$K$8:$L$12,2,0)</f>
        <v>2</v>
      </c>
      <c r="L188" s="585" t="s">
        <v>326</v>
      </c>
      <c r="M188" s="569">
        <f>+VLOOKUP(L188,Listados!$K$13:$L$17,2,0)</f>
        <v>4</v>
      </c>
      <c r="N188" s="569" t="str">
        <f>IF(AND(J188&lt;&gt;"",L188&lt;&gt;""),VLOOKUP(J188&amp;L188,Listados!$M$3:$N$27,2,FALSE),"")</f>
        <v>Alto</v>
      </c>
      <c r="O188" s="128" t="s">
        <v>827</v>
      </c>
      <c r="P188" s="209" t="s">
        <v>826</v>
      </c>
      <c r="Q188" s="130" t="s">
        <v>72</v>
      </c>
      <c r="R188" s="94" t="s">
        <v>73</v>
      </c>
      <c r="S188" s="93">
        <f t="shared" si="238"/>
        <v>15</v>
      </c>
      <c r="T188" s="94" t="s">
        <v>73</v>
      </c>
      <c r="U188" s="93">
        <f t="shared" si="239"/>
        <v>15</v>
      </c>
      <c r="V188" s="94" t="s">
        <v>73</v>
      </c>
      <c r="W188" s="93">
        <f t="shared" si="240"/>
        <v>15</v>
      </c>
      <c r="X188" s="94" t="s">
        <v>72</v>
      </c>
      <c r="Y188" s="93">
        <f t="shared" si="241"/>
        <v>15</v>
      </c>
      <c r="Z188" s="94" t="s">
        <v>73</v>
      </c>
      <c r="AA188" s="93">
        <f t="shared" si="242"/>
        <v>15</v>
      </c>
      <c r="AB188" s="94" t="s">
        <v>73</v>
      </c>
      <c r="AC188" s="93">
        <f t="shared" si="243"/>
        <v>15</v>
      </c>
      <c r="AD188" s="94" t="s">
        <v>74</v>
      </c>
      <c r="AE188" s="93">
        <f t="shared" si="244"/>
        <v>10</v>
      </c>
      <c r="AF188" s="96">
        <f t="shared" si="245"/>
        <v>100</v>
      </c>
      <c r="AG188" s="96" t="str">
        <f t="shared" si="246"/>
        <v>Fuerte</v>
      </c>
      <c r="AH188" s="107" t="s">
        <v>75</v>
      </c>
      <c r="AI188" s="96" t="str">
        <f t="shared" si="247"/>
        <v>Fuerte</v>
      </c>
      <c r="AJ188" s="96" t="str">
        <f>IFERROR(VLOOKUP((CONCATENATE(AG188,AI188)),Listados!$U$3:$V$11,2,FALSE),"")</f>
        <v>Fuerte</v>
      </c>
      <c r="AK188" s="96">
        <f t="shared" si="248"/>
        <v>100</v>
      </c>
      <c r="AL188" s="559">
        <f t="shared" ref="AL188" si="314">AVERAGE(AK188:AK191)</f>
        <v>87.5</v>
      </c>
      <c r="AM188" s="559" t="str">
        <f t="shared" ref="AM188" si="315">IF(AL188&lt;=50,"Débil",IF(AL188&lt;=99,"Moderado",IF(AL188=100,"fuerte","")))</f>
        <v>Moderado</v>
      </c>
      <c r="AN188" s="559">
        <f t="shared" ref="AN188" si="316">+IF(AND(Q188="Preventivo",AM188="Fuerte"),2,IF(AND(Q188="Preventivo",AM188="Moderado"),1,0))</f>
        <v>1</v>
      </c>
      <c r="AO188" s="559">
        <f t="shared" ref="AO188" si="317">+IF(AND(Q188="Detectivo",$AM188="Fuerte"),2,IF(AND(Q188="Detectivo",$AM188="Moderado"),1,IF(AND(Q188="Preventivo",$AM188="Fuerte"),1,0)))</f>
        <v>0</v>
      </c>
      <c r="AP188" s="566">
        <f t="shared" ref="AP188" si="318">+K188-AN188</f>
        <v>1</v>
      </c>
      <c r="AQ188" s="566">
        <f t="shared" ref="AQ188" si="319">+M188-AO188</f>
        <v>4</v>
      </c>
      <c r="AR188" s="569" t="str">
        <f>+VLOOKUP(MIN(AP188),Listados!$J$18:$K$24,2,TRUE)</f>
        <v>Rara Vez</v>
      </c>
      <c r="AS188" s="569" t="str">
        <f>+VLOOKUP(MIN(AQ188),Listados!$J$26:$K$32,2,TRUE)</f>
        <v>Mayor</v>
      </c>
      <c r="AT188" s="569" t="str">
        <f>IF(AND(AR188&lt;&gt;"",AS188&lt;&gt;""),VLOOKUP(AR188&amp;AS188,Listados!$M$3:$N$27,2,FALSE),"")</f>
        <v>Alto</v>
      </c>
      <c r="AU188" s="569" t="str">
        <f>+VLOOKUP(AT188,Listados!$P$3:$Q$6,2,FALSE)</f>
        <v>Reducir el riesgo</v>
      </c>
      <c r="AV188" s="97" t="s">
        <v>828</v>
      </c>
      <c r="AW188" s="97" t="s">
        <v>813</v>
      </c>
      <c r="AX188" s="98">
        <v>45658</v>
      </c>
      <c r="AY188" s="99">
        <v>46022</v>
      </c>
      <c r="AZ188" s="97" t="s">
        <v>804</v>
      </c>
      <c r="BA188" s="97" t="s">
        <v>829</v>
      </c>
      <c r="BB188" s="808" t="s">
        <v>830</v>
      </c>
      <c r="BC188" s="786" t="s">
        <v>831</v>
      </c>
      <c r="BD188" s="789"/>
      <c r="BE188" s="644" t="s">
        <v>808</v>
      </c>
      <c r="BF188" s="845" t="s">
        <v>1637</v>
      </c>
      <c r="BG188" s="846"/>
    </row>
    <row r="189" spans="1:59" ht="86.25">
      <c r="A189" s="693"/>
      <c r="B189" s="639"/>
      <c r="C189" s="661"/>
      <c r="D189" s="572"/>
      <c r="E189" s="572"/>
      <c r="F189" s="572"/>
      <c r="G189" s="342" t="s">
        <v>832</v>
      </c>
      <c r="H189" s="337" t="s">
        <v>155</v>
      </c>
      <c r="I189" s="337" t="s">
        <v>833</v>
      </c>
      <c r="J189" s="572"/>
      <c r="K189" s="565"/>
      <c r="L189" s="573"/>
      <c r="M189" s="565"/>
      <c r="N189" s="565"/>
      <c r="O189" s="354" t="s">
        <v>834</v>
      </c>
      <c r="P189" s="211" t="s">
        <v>832</v>
      </c>
      <c r="Q189" s="74" t="s">
        <v>72</v>
      </c>
      <c r="R189" s="44" t="s">
        <v>73</v>
      </c>
      <c r="S189" s="333">
        <f t="shared" si="238"/>
        <v>15</v>
      </c>
      <c r="T189" s="44" t="s">
        <v>73</v>
      </c>
      <c r="U189" s="333">
        <f t="shared" si="239"/>
        <v>15</v>
      </c>
      <c r="V189" s="44" t="s">
        <v>73</v>
      </c>
      <c r="W189" s="333">
        <f t="shared" si="240"/>
        <v>15</v>
      </c>
      <c r="X189" s="44" t="s">
        <v>72</v>
      </c>
      <c r="Y189" s="333">
        <f t="shared" si="241"/>
        <v>15</v>
      </c>
      <c r="Z189" s="44" t="s">
        <v>73</v>
      </c>
      <c r="AA189" s="333">
        <f t="shared" si="242"/>
        <v>15</v>
      </c>
      <c r="AB189" s="44" t="s">
        <v>73</v>
      </c>
      <c r="AC189" s="333">
        <f t="shared" si="243"/>
        <v>15</v>
      </c>
      <c r="AD189" s="44" t="s">
        <v>74</v>
      </c>
      <c r="AE189" s="333">
        <f t="shared" si="244"/>
        <v>10</v>
      </c>
      <c r="AF189" s="334">
        <f t="shared" si="245"/>
        <v>100</v>
      </c>
      <c r="AG189" s="334" t="str">
        <f t="shared" si="246"/>
        <v>Fuerte</v>
      </c>
      <c r="AH189" s="75" t="s">
        <v>75</v>
      </c>
      <c r="AI189" s="334" t="str">
        <f t="shared" si="247"/>
        <v>Fuerte</v>
      </c>
      <c r="AJ189" s="334" t="str">
        <f>IFERROR(VLOOKUP((CONCATENATE(AG189,AI189)),Listados!$U$3:$V$11,2,FALSE),"")</f>
        <v>Fuerte</v>
      </c>
      <c r="AK189" s="334">
        <f t="shared" si="248"/>
        <v>100</v>
      </c>
      <c r="AL189" s="558"/>
      <c r="AM189" s="558"/>
      <c r="AN189" s="558"/>
      <c r="AO189" s="558"/>
      <c r="AP189" s="567"/>
      <c r="AQ189" s="567"/>
      <c r="AR189" s="565"/>
      <c r="AS189" s="565"/>
      <c r="AT189" s="565"/>
      <c r="AU189" s="565"/>
      <c r="AV189" s="336" t="s">
        <v>812</v>
      </c>
      <c r="AW189" s="336" t="s">
        <v>813</v>
      </c>
      <c r="AX189" s="339">
        <v>45658</v>
      </c>
      <c r="AY189" s="339">
        <v>46012</v>
      </c>
      <c r="AZ189" s="336" t="s">
        <v>814</v>
      </c>
      <c r="BA189" s="336" t="s">
        <v>829</v>
      </c>
      <c r="BB189" s="809"/>
      <c r="BC189" s="787"/>
      <c r="BD189" s="790"/>
      <c r="BE189" s="766"/>
      <c r="BF189" s="648"/>
      <c r="BG189" s="779"/>
    </row>
    <row r="190" spans="1:59" ht="100.5">
      <c r="A190" s="693"/>
      <c r="B190" s="639"/>
      <c r="C190" s="661"/>
      <c r="D190" s="572"/>
      <c r="E190" s="572"/>
      <c r="F190" s="572"/>
      <c r="G190" s="342" t="s">
        <v>835</v>
      </c>
      <c r="H190" s="337" t="s">
        <v>67</v>
      </c>
      <c r="I190" s="337" t="s">
        <v>836</v>
      </c>
      <c r="J190" s="572"/>
      <c r="K190" s="565"/>
      <c r="L190" s="573"/>
      <c r="M190" s="565"/>
      <c r="N190" s="565"/>
      <c r="O190" s="354" t="s">
        <v>837</v>
      </c>
      <c r="P190" s="211" t="s">
        <v>835</v>
      </c>
      <c r="Q190" s="74" t="s">
        <v>72</v>
      </c>
      <c r="R190" s="44" t="s">
        <v>73</v>
      </c>
      <c r="S190" s="333">
        <f t="shared" si="238"/>
        <v>15</v>
      </c>
      <c r="T190" s="44" t="s">
        <v>73</v>
      </c>
      <c r="U190" s="333">
        <f t="shared" si="239"/>
        <v>15</v>
      </c>
      <c r="V190" s="44" t="s">
        <v>73</v>
      </c>
      <c r="W190" s="333">
        <f t="shared" si="240"/>
        <v>15</v>
      </c>
      <c r="X190" s="44" t="s">
        <v>72</v>
      </c>
      <c r="Y190" s="333">
        <f t="shared" si="241"/>
        <v>15</v>
      </c>
      <c r="Z190" s="44" t="s">
        <v>73</v>
      </c>
      <c r="AA190" s="333">
        <f t="shared" si="242"/>
        <v>15</v>
      </c>
      <c r="AB190" s="44" t="s">
        <v>73</v>
      </c>
      <c r="AC190" s="333">
        <f t="shared" si="243"/>
        <v>15</v>
      </c>
      <c r="AD190" s="44" t="s">
        <v>74</v>
      </c>
      <c r="AE190" s="333">
        <f t="shared" si="244"/>
        <v>10</v>
      </c>
      <c r="AF190" s="334">
        <f t="shared" si="245"/>
        <v>100</v>
      </c>
      <c r="AG190" s="334" t="str">
        <f t="shared" si="246"/>
        <v>Fuerte</v>
      </c>
      <c r="AH190" s="75" t="s">
        <v>75</v>
      </c>
      <c r="AI190" s="334" t="str">
        <f t="shared" si="247"/>
        <v>Fuerte</v>
      </c>
      <c r="AJ190" s="334" t="str">
        <f>IFERROR(VLOOKUP((CONCATENATE(AG190,AI190)),Listados!$U$3:$V$11,2,FALSE),"")</f>
        <v>Fuerte</v>
      </c>
      <c r="AK190" s="334">
        <f t="shared" si="248"/>
        <v>100</v>
      </c>
      <c r="AL190" s="558"/>
      <c r="AM190" s="558"/>
      <c r="AN190" s="558"/>
      <c r="AO190" s="558"/>
      <c r="AP190" s="567"/>
      <c r="AQ190" s="567"/>
      <c r="AR190" s="565"/>
      <c r="AS190" s="565"/>
      <c r="AT190" s="565"/>
      <c r="AU190" s="565"/>
      <c r="AV190" s="336"/>
      <c r="AW190" s="336"/>
      <c r="AX190" s="339"/>
      <c r="AY190" s="339"/>
      <c r="AZ190" s="336"/>
      <c r="BA190" s="336"/>
      <c r="BB190" s="809"/>
      <c r="BC190" s="787"/>
      <c r="BD190" s="790"/>
      <c r="BE190" s="766"/>
      <c r="BF190" s="648"/>
      <c r="BG190" s="779"/>
    </row>
    <row r="191" spans="1:59" ht="86.25">
      <c r="A191" s="753"/>
      <c r="B191" s="640"/>
      <c r="C191" s="662"/>
      <c r="D191" s="586"/>
      <c r="E191" s="586"/>
      <c r="F191" s="586"/>
      <c r="G191" s="268" t="s">
        <v>838</v>
      </c>
      <c r="H191" s="257" t="s">
        <v>67</v>
      </c>
      <c r="I191" s="257" t="s">
        <v>839</v>
      </c>
      <c r="J191" s="586"/>
      <c r="K191" s="570"/>
      <c r="L191" s="587"/>
      <c r="M191" s="570"/>
      <c r="N191" s="570"/>
      <c r="O191" s="277" t="s">
        <v>840</v>
      </c>
      <c r="P191" s="213" t="s">
        <v>838</v>
      </c>
      <c r="Q191" s="214" t="s">
        <v>83</v>
      </c>
      <c r="R191" s="102" t="s">
        <v>73</v>
      </c>
      <c r="S191" s="261">
        <f t="shared" si="238"/>
        <v>15</v>
      </c>
      <c r="T191" s="102" t="s">
        <v>73</v>
      </c>
      <c r="U191" s="261">
        <f t="shared" si="239"/>
        <v>15</v>
      </c>
      <c r="V191" s="102" t="s">
        <v>73</v>
      </c>
      <c r="W191" s="261">
        <f t="shared" si="240"/>
        <v>15</v>
      </c>
      <c r="X191" s="260" t="s">
        <v>83</v>
      </c>
      <c r="Y191" s="261">
        <f t="shared" si="241"/>
        <v>10</v>
      </c>
      <c r="Z191" s="102" t="s">
        <v>73</v>
      </c>
      <c r="AA191" s="261">
        <f t="shared" si="242"/>
        <v>15</v>
      </c>
      <c r="AB191" s="102" t="s">
        <v>73</v>
      </c>
      <c r="AC191" s="261">
        <f t="shared" si="243"/>
        <v>15</v>
      </c>
      <c r="AD191" s="102" t="s">
        <v>74</v>
      </c>
      <c r="AE191" s="261">
        <f t="shared" si="244"/>
        <v>10</v>
      </c>
      <c r="AF191" s="262">
        <f t="shared" si="245"/>
        <v>95</v>
      </c>
      <c r="AG191" s="262" t="str">
        <f t="shared" si="246"/>
        <v>Moderado</v>
      </c>
      <c r="AH191" s="104" t="s">
        <v>75</v>
      </c>
      <c r="AI191" s="262" t="str">
        <f t="shared" si="247"/>
        <v>Fuerte</v>
      </c>
      <c r="AJ191" s="262" t="str">
        <f>IFERROR(VLOOKUP((CONCATENATE(AG191,AI191)),Listados!$U$3:$V$11,2,FALSE),"")</f>
        <v>Moderado</v>
      </c>
      <c r="AK191" s="262">
        <f t="shared" si="248"/>
        <v>50</v>
      </c>
      <c r="AL191" s="560"/>
      <c r="AM191" s="560"/>
      <c r="AN191" s="560"/>
      <c r="AO191" s="560"/>
      <c r="AP191" s="568"/>
      <c r="AQ191" s="568"/>
      <c r="AR191" s="570"/>
      <c r="AS191" s="570"/>
      <c r="AT191" s="570"/>
      <c r="AU191" s="570"/>
      <c r="AV191" s="249"/>
      <c r="AW191" s="249"/>
      <c r="AX191" s="250"/>
      <c r="AY191" s="250"/>
      <c r="AZ191" s="249"/>
      <c r="BA191" s="249"/>
      <c r="BB191" s="810"/>
      <c r="BC191" s="788"/>
      <c r="BD191" s="791"/>
      <c r="BE191" s="844"/>
      <c r="BF191" s="649"/>
      <c r="BG191" s="847"/>
    </row>
    <row r="192" spans="1:59">
      <c r="A192" s="692">
        <v>50</v>
      </c>
      <c r="B192" s="659"/>
      <c r="C192" s="660"/>
      <c r="D192" s="574"/>
      <c r="E192" s="574"/>
      <c r="F192" s="574"/>
      <c r="G192" s="90"/>
      <c r="H192" s="72"/>
      <c r="I192" s="72"/>
      <c r="J192" s="574"/>
      <c r="K192" s="557" t="e">
        <f>+VLOOKUP(J192,Listados!$K$8:$L$12,2,0)</f>
        <v>#N/A</v>
      </c>
      <c r="L192" s="555"/>
      <c r="M192" s="557" t="e">
        <f>+VLOOKUP(L192,Listados!$K$13:$L$17,2,0)</f>
        <v>#N/A</v>
      </c>
      <c r="N192" s="557" t="str">
        <f>IF(AND(J192&lt;&gt;"",L192&lt;&gt;""),VLOOKUP(J192&amp;L192,Listados!$M$3:$N$27,2,FALSE),"")</f>
        <v/>
      </c>
      <c r="O192" s="212"/>
      <c r="P192" s="73"/>
      <c r="Q192" s="74"/>
      <c r="R192" s="44"/>
      <c r="S192" s="53" t="str">
        <f t="shared" si="238"/>
        <v>0</v>
      </c>
      <c r="T192" s="44"/>
      <c r="U192" s="53" t="str">
        <f t="shared" si="239"/>
        <v>0</v>
      </c>
      <c r="V192" s="44"/>
      <c r="W192" s="53" t="str">
        <f t="shared" si="240"/>
        <v>0</v>
      </c>
      <c r="X192" s="44"/>
      <c r="Y192" s="53" t="str">
        <f t="shared" si="241"/>
        <v>0</v>
      </c>
      <c r="Z192" s="44"/>
      <c r="AA192" s="53" t="str">
        <f t="shared" si="242"/>
        <v>0</v>
      </c>
      <c r="AB192" s="44"/>
      <c r="AC192" s="53" t="str">
        <f t="shared" si="243"/>
        <v>0</v>
      </c>
      <c r="AD192" s="44"/>
      <c r="AE192" s="53" t="str">
        <f t="shared" si="244"/>
        <v>0</v>
      </c>
      <c r="AF192" s="71" t="str">
        <f t="shared" si="245"/>
        <v/>
      </c>
      <c r="AG192" s="71" t="str">
        <f t="shared" si="246"/>
        <v/>
      </c>
      <c r="AH192" s="75"/>
      <c r="AI192" s="71" t="str">
        <f t="shared" si="247"/>
        <v/>
      </c>
      <c r="AJ192" s="71" t="str">
        <f>IFERROR(VLOOKUP((CONCATENATE(AG192,AI192)),Listados!$U$3:$V$11,2,FALSE),"")</f>
        <v/>
      </c>
      <c r="AK192" s="71" t="str">
        <f t="shared" si="248"/>
        <v/>
      </c>
      <c r="AL192" s="564" t="e">
        <f t="shared" ref="AL192" si="320">AVERAGE(AK192:AK195)</f>
        <v>#DIV/0!</v>
      </c>
      <c r="AM192" s="564" t="e">
        <f t="shared" ref="AM192" si="321">IF(AL192&lt;=50,"Débil",IF(AL192&lt;=99,"Moderado",IF(AL192=100,"fuerte","")))</f>
        <v>#DIV/0!</v>
      </c>
      <c r="AN192" s="564" t="e">
        <f t="shared" ref="AN192" si="322">+IF(AND(Q192="Preventivo",AM192="Fuerte"),2,IF(AND(Q192="Preventivo",AM192="Moderado"),1,0))</f>
        <v>#DIV/0!</v>
      </c>
      <c r="AO192" s="564" t="e">
        <f t="shared" ref="AO192" si="323">+IF(AND(Q192="Detectivo",$AM192="Fuerte"),2,IF(AND(Q192="Detectivo",$AM192="Moderado"),1,IF(AND(Q192="Preventivo",$AM192="Fuerte"),1,0)))</f>
        <v>#DIV/0!</v>
      </c>
      <c r="AP192" s="567" t="e">
        <f t="shared" ref="AP192" si="324">+K192-AN192</f>
        <v>#N/A</v>
      </c>
      <c r="AQ192" s="567" t="e">
        <f t="shared" ref="AQ192" si="325">+M192-AO192</f>
        <v>#N/A</v>
      </c>
      <c r="AR192" s="557" t="e">
        <f>+VLOOKUP(MIN(AP192),Listados!$J$18:$K$24,2,TRUE)</f>
        <v>#N/A</v>
      </c>
      <c r="AS192" s="557" t="e">
        <f>+VLOOKUP(MIN(AQ192),Listados!$J$26:$K$32,2,TRUE)</f>
        <v>#N/A</v>
      </c>
      <c r="AT192" s="557" t="e">
        <f>IF(AND(AR192&lt;&gt;"",AS192&lt;&gt;""),VLOOKUP(AR192&amp;AS192,Listados!$M$3:$N$27,2,FALSE),"")</f>
        <v>#N/A</v>
      </c>
      <c r="AU192" s="557" t="e">
        <f>+VLOOKUP(AT192,Listados!$P$3:$Q$6,2,FALSE)</f>
        <v>#N/A</v>
      </c>
      <c r="AV192" s="76"/>
      <c r="AW192" s="76"/>
      <c r="AX192" s="77"/>
      <c r="AY192" s="78"/>
      <c r="AZ192" s="76"/>
      <c r="BA192" s="76"/>
      <c r="BB192" s="790"/>
      <c r="BC192" s="790"/>
      <c r="BD192" s="790"/>
      <c r="BE192" s="848"/>
      <c r="BF192" s="779"/>
      <c r="BG192" s="779"/>
    </row>
    <row r="193" spans="1:59">
      <c r="A193" s="693"/>
      <c r="B193" s="639"/>
      <c r="C193" s="661"/>
      <c r="D193" s="572"/>
      <c r="E193" s="572"/>
      <c r="F193" s="572"/>
      <c r="G193" s="329"/>
      <c r="H193" s="337"/>
      <c r="I193" s="337"/>
      <c r="J193" s="572"/>
      <c r="K193" s="565"/>
      <c r="L193" s="573"/>
      <c r="M193" s="565"/>
      <c r="N193" s="565"/>
      <c r="O193" s="354"/>
      <c r="P193" s="330"/>
      <c r="Q193" s="350"/>
      <c r="R193" s="332"/>
      <c r="S193" s="333" t="str">
        <f t="shared" ref="S193:S235" si="326">+IF(R193="si",15,"0")</f>
        <v>0</v>
      </c>
      <c r="T193" s="332"/>
      <c r="U193" s="333" t="str">
        <f t="shared" ref="U193:U235" si="327">+IF(T193="si",15,"0")</f>
        <v>0</v>
      </c>
      <c r="V193" s="332"/>
      <c r="W193" s="333" t="str">
        <f t="shared" ref="W193:W235" si="328">+IF(V193="si",15,"0")</f>
        <v>0</v>
      </c>
      <c r="X193" s="332"/>
      <c r="Y193" s="333" t="str">
        <f t="shared" ref="Y193:Y235" si="329">+IF(X193="Preventivo",15,IF(X193="Detectivo",10,"0"))</f>
        <v>0</v>
      </c>
      <c r="Z193" s="332"/>
      <c r="AA193" s="333" t="str">
        <f t="shared" ref="AA193:AA235" si="330">+IF(Z193="si",15,"0")</f>
        <v>0</v>
      </c>
      <c r="AB193" s="332"/>
      <c r="AC193" s="333" t="str">
        <f t="shared" ref="AC193:AC235" si="331">+IF(AB193="si",15,"0")</f>
        <v>0</v>
      </c>
      <c r="AD193" s="332"/>
      <c r="AE193" s="333" t="str">
        <f t="shared" ref="AE193:AE235" si="332">+IF(AD193="Completa",10,IF(AD193="Incompleta",5,"0"))</f>
        <v>0</v>
      </c>
      <c r="AF193" s="334" t="str">
        <f t="shared" ref="AF193:AF194" si="333">IF((SUM(S193,U193,W193,Y193,AA193,AC193,AE193)=0),"",(SUM(S193,U193,W193,Y193,AA193,AC193,AE193)))</f>
        <v/>
      </c>
      <c r="AG193" s="334" t="str">
        <f t="shared" ref="AG193:AG235" si="334">IF(AF193&lt;=85,"Débil",IF(AF193&lt;=95,"Moderado",IF(AF193=100,"Fuerte","")))</f>
        <v/>
      </c>
      <c r="AH193" s="335"/>
      <c r="AI193" s="334" t="str">
        <f t="shared" ref="AI193:AI235" si="335">+IF(AH193="siempre","Fuerte",IF(AH193="Algunas veces","Moderado",IF(AH193="No se ejecuta","Débil","")))</f>
        <v/>
      </c>
      <c r="AJ193" s="334" t="str">
        <f>IFERROR(VLOOKUP((CONCATENATE(AG193,AI193)),Listados!$U$3:$V$11,2,FALSE),"")</f>
        <v/>
      </c>
      <c r="AK193" s="334" t="str">
        <f t="shared" ref="AK193:AK235" si="336">IF(AJ193="","",IF(AJ193="Débil", 0, IF(AJ193="Moderado",50,100)))</f>
        <v/>
      </c>
      <c r="AL193" s="558"/>
      <c r="AM193" s="558"/>
      <c r="AN193" s="558"/>
      <c r="AO193" s="558"/>
      <c r="AP193" s="567"/>
      <c r="AQ193" s="567"/>
      <c r="AR193" s="565"/>
      <c r="AS193" s="565"/>
      <c r="AT193" s="565"/>
      <c r="AU193" s="565"/>
      <c r="AV193" s="336"/>
      <c r="AW193" s="336"/>
      <c r="AX193" s="336"/>
      <c r="AY193" s="336"/>
      <c r="AZ193" s="336"/>
      <c r="BA193" s="336"/>
      <c r="BB193" s="790"/>
      <c r="BC193" s="790"/>
      <c r="BD193" s="790"/>
      <c r="BE193" s="848"/>
      <c r="BF193" s="779"/>
      <c r="BG193" s="779"/>
    </row>
    <row r="194" spans="1:59">
      <c r="A194" s="693"/>
      <c r="B194" s="639"/>
      <c r="C194" s="661"/>
      <c r="D194" s="572"/>
      <c r="E194" s="572"/>
      <c r="F194" s="572"/>
      <c r="G194" s="329"/>
      <c r="H194" s="337"/>
      <c r="I194" s="337"/>
      <c r="J194" s="572"/>
      <c r="K194" s="565"/>
      <c r="L194" s="573"/>
      <c r="M194" s="565"/>
      <c r="N194" s="565"/>
      <c r="O194" s="347"/>
      <c r="P194" s="338"/>
      <c r="Q194" s="348"/>
      <c r="R194" s="332"/>
      <c r="S194" s="333" t="str">
        <f t="shared" si="326"/>
        <v>0</v>
      </c>
      <c r="T194" s="332"/>
      <c r="U194" s="333" t="str">
        <f t="shared" si="327"/>
        <v>0</v>
      </c>
      <c r="V194" s="332"/>
      <c r="W194" s="333" t="str">
        <f t="shared" si="328"/>
        <v>0</v>
      </c>
      <c r="X194" s="332"/>
      <c r="Y194" s="333" t="str">
        <f t="shared" si="329"/>
        <v>0</v>
      </c>
      <c r="Z194" s="332"/>
      <c r="AA194" s="333" t="str">
        <f t="shared" si="330"/>
        <v>0</v>
      </c>
      <c r="AB194" s="332"/>
      <c r="AC194" s="333" t="str">
        <f t="shared" si="331"/>
        <v>0</v>
      </c>
      <c r="AD194" s="332"/>
      <c r="AE194" s="333" t="str">
        <f t="shared" si="332"/>
        <v>0</v>
      </c>
      <c r="AF194" s="334" t="str">
        <f t="shared" si="333"/>
        <v/>
      </c>
      <c r="AG194" s="334" t="str">
        <f t="shared" si="334"/>
        <v/>
      </c>
      <c r="AH194" s="335"/>
      <c r="AI194" s="334" t="str">
        <f t="shared" si="335"/>
        <v/>
      </c>
      <c r="AJ194" s="334" t="str">
        <f>IFERROR(VLOOKUP((CONCATENATE(AG194,AI194)),Listados!$U$3:$V$11,2,FALSE),"")</f>
        <v/>
      </c>
      <c r="AK194" s="334" t="str">
        <f t="shared" si="336"/>
        <v/>
      </c>
      <c r="AL194" s="558"/>
      <c r="AM194" s="558"/>
      <c r="AN194" s="558"/>
      <c r="AO194" s="558"/>
      <c r="AP194" s="567"/>
      <c r="AQ194" s="567"/>
      <c r="AR194" s="565"/>
      <c r="AS194" s="565"/>
      <c r="AT194" s="565"/>
      <c r="AU194" s="565"/>
      <c r="AV194" s="336"/>
      <c r="AW194" s="336"/>
      <c r="AX194" s="339"/>
      <c r="AY194" s="339"/>
      <c r="AZ194" s="336"/>
      <c r="BA194" s="336"/>
      <c r="BB194" s="790"/>
      <c r="BC194" s="790"/>
      <c r="BD194" s="790"/>
      <c r="BE194" s="848"/>
      <c r="BF194" s="779"/>
      <c r="BG194" s="779"/>
    </row>
    <row r="195" spans="1:59" ht="15.75" thickBot="1">
      <c r="A195" s="693"/>
      <c r="B195" s="639"/>
      <c r="C195" s="661"/>
      <c r="D195" s="572"/>
      <c r="E195" s="572"/>
      <c r="F195" s="572"/>
      <c r="G195" s="329"/>
      <c r="H195" s="337"/>
      <c r="I195" s="337"/>
      <c r="J195" s="572"/>
      <c r="K195" s="565"/>
      <c r="L195" s="573"/>
      <c r="M195" s="565"/>
      <c r="N195" s="565"/>
      <c r="O195" s="347"/>
      <c r="P195" s="338"/>
      <c r="Q195" s="348"/>
      <c r="R195" s="332"/>
      <c r="S195" s="333" t="str">
        <f t="shared" si="326"/>
        <v>0</v>
      </c>
      <c r="T195" s="332"/>
      <c r="U195" s="333" t="str">
        <f t="shared" si="327"/>
        <v>0</v>
      </c>
      <c r="V195" s="332"/>
      <c r="W195" s="333" t="str">
        <f t="shared" si="328"/>
        <v>0</v>
      </c>
      <c r="X195" s="332"/>
      <c r="Y195" s="333" t="str">
        <f t="shared" si="329"/>
        <v>0</v>
      </c>
      <c r="Z195" s="332"/>
      <c r="AA195" s="333" t="str">
        <f t="shared" si="330"/>
        <v>0</v>
      </c>
      <c r="AB195" s="332"/>
      <c r="AC195" s="333" t="str">
        <f t="shared" si="331"/>
        <v>0</v>
      </c>
      <c r="AD195" s="332"/>
      <c r="AE195" s="333" t="str">
        <f t="shared" si="332"/>
        <v>0</v>
      </c>
      <c r="AF195" s="334" t="str">
        <f t="shared" ref="AF195:AF235" si="337">IF((SUM(S195,U195,W195,Y195,AA195,AC195,AE195)=0),"",(SUM(S195,U195,W195,Y195,AA195,AC195,AE195)))</f>
        <v/>
      </c>
      <c r="AG195" s="334" t="str">
        <f t="shared" si="334"/>
        <v/>
      </c>
      <c r="AH195" s="335"/>
      <c r="AI195" s="334" t="str">
        <f t="shared" si="335"/>
        <v/>
      </c>
      <c r="AJ195" s="334" t="str">
        <f>IFERROR(VLOOKUP((CONCATENATE(AG195,AI195)),Listados!$U$3:$V$11,2,FALSE),"")</f>
        <v/>
      </c>
      <c r="AK195" s="334" t="str">
        <f t="shared" si="336"/>
        <v/>
      </c>
      <c r="AL195" s="558"/>
      <c r="AM195" s="558"/>
      <c r="AN195" s="558"/>
      <c r="AO195" s="558"/>
      <c r="AP195" s="564"/>
      <c r="AQ195" s="564"/>
      <c r="AR195" s="565"/>
      <c r="AS195" s="565"/>
      <c r="AT195" s="565"/>
      <c r="AU195" s="565"/>
      <c r="AV195" s="336"/>
      <c r="AW195" s="336"/>
      <c r="AX195" s="339"/>
      <c r="AY195" s="339"/>
      <c r="AZ195" s="336"/>
      <c r="BA195" s="336"/>
      <c r="BB195" s="825"/>
      <c r="BC195" s="825"/>
      <c r="BD195" s="825"/>
      <c r="BE195" s="849"/>
      <c r="BF195" s="780"/>
      <c r="BG195" s="780"/>
    </row>
    <row r="196" spans="1:59">
      <c r="A196" s="693">
        <v>51</v>
      </c>
      <c r="B196" s="639"/>
      <c r="C196" s="661"/>
      <c r="D196" s="572"/>
      <c r="E196" s="574"/>
      <c r="F196" s="574"/>
      <c r="G196" s="329"/>
      <c r="H196" s="337"/>
      <c r="I196" s="337"/>
      <c r="J196" s="572"/>
      <c r="K196" s="565" t="e">
        <f>+VLOOKUP(J196,Listados!$K$8:$L$12,2,0)</f>
        <v>#N/A</v>
      </c>
      <c r="L196" s="573"/>
      <c r="M196" s="565" t="e">
        <f>+VLOOKUP(L196,Listados!$K$13:$L$17,2,0)</f>
        <v>#N/A</v>
      </c>
      <c r="N196" s="565" t="str">
        <f>IF(AND(J196&lt;&gt;"",L196&lt;&gt;""),VLOOKUP(J196&amp;L196,Listados!$M$3:$N$27,2,FALSE),"")</f>
        <v/>
      </c>
      <c r="O196" s="354"/>
      <c r="P196" s="330"/>
      <c r="Q196" s="350"/>
      <c r="R196" s="332"/>
      <c r="S196" s="333" t="str">
        <f t="shared" si="326"/>
        <v>0</v>
      </c>
      <c r="T196" s="332"/>
      <c r="U196" s="333" t="str">
        <f t="shared" si="327"/>
        <v>0</v>
      </c>
      <c r="V196" s="332"/>
      <c r="W196" s="333" t="str">
        <f t="shared" si="328"/>
        <v>0</v>
      </c>
      <c r="X196" s="332"/>
      <c r="Y196" s="333" t="str">
        <f t="shared" si="329"/>
        <v>0</v>
      </c>
      <c r="Z196" s="332"/>
      <c r="AA196" s="333" t="str">
        <f t="shared" si="330"/>
        <v>0</v>
      </c>
      <c r="AB196" s="332"/>
      <c r="AC196" s="333" t="str">
        <f t="shared" si="331"/>
        <v>0</v>
      </c>
      <c r="AD196" s="332"/>
      <c r="AE196" s="333" t="str">
        <f t="shared" si="332"/>
        <v>0</v>
      </c>
      <c r="AF196" s="334" t="str">
        <f t="shared" si="337"/>
        <v/>
      </c>
      <c r="AG196" s="334" t="str">
        <f t="shared" si="334"/>
        <v/>
      </c>
      <c r="AH196" s="335"/>
      <c r="AI196" s="334" t="str">
        <f t="shared" si="335"/>
        <v/>
      </c>
      <c r="AJ196" s="334" t="str">
        <f>IFERROR(VLOOKUP((CONCATENATE(AG196,AI196)),Listados!$U$3:$V$11,2,FALSE),"")</f>
        <v/>
      </c>
      <c r="AK196" s="334" t="str">
        <f t="shared" si="336"/>
        <v/>
      </c>
      <c r="AL196" s="558" t="e">
        <f t="shared" ref="AL196" si="338">AVERAGE(AK196:AK199)</f>
        <v>#DIV/0!</v>
      </c>
      <c r="AM196" s="558" t="e">
        <f t="shared" ref="AM196" si="339">IF(AL196&lt;=50,"Débil",IF(AL196&lt;=99,"Moderado",IF(AL196=100,"fuerte","")))</f>
        <v>#DIV/0!</v>
      </c>
      <c r="AN196" s="558" t="e">
        <f t="shared" ref="AN196" si="340">+IF(AND(Q196="Preventivo",AM196="Fuerte"),2,IF(AND(Q196="Preventivo",AM196="Moderado"),1,0))</f>
        <v>#DIV/0!</v>
      </c>
      <c r="AO196" s="558" t="e">
        <f t="shared" ref="AO196" si="341">+IF(AND(Q196="Detectivo",$AM196="Fuerte"),2,IF(AND(Q196="Detectivo",$AM196="Moderado"),1,IF(AND(Q196="Preventivo",$AM196="Fuerte"),1,0)))</f>
        <v>#DIV/0!</v>
      </c>
      <c r="AP196" s="566" t="e">
        <f t="shared" ref="AP196" si="342">+K196-AN196</f>
        <v>#N/A</v>
      </c>
      <c r="AQ196" s="566" t="e">
        <f t="shared" ref="AQ196" si="343">+M196-AO196</f>
        <v>#N/A</v>
      </c>
      <c r="AR196" s="565" t="e">
        <f>+VLOOKUP(MIN(AP196),Listados!$J$18:$K$24,2,TRUE)</f>
        <v>#N/A</v>
      </c>
      <c r="AS196" s="565" t="e">
        <f>+VLOOKUP(MIN(AQ196),Listados!$J$26:$K$32,2,TRUE)</f>
        <v>#N/A</v>
      </c>
      <c r="AT196" s="565" t="e">
        <f>IF(AND(AR196&lt;&gt;"",AS196&lt;&gt;""),VLOOKUP(AR196&amp;AS196,Listados!$M$3:$N$27,2,FALSE),"")</f>
        <v>#N/A</v>
      </c>
      <c r="AU196" s="565" t="e">
        <f>+VLOOKUP(AT196,Listados!$P$3:$Q$6,2,FALSE)</f>
        <v>#N/A</v>
      </c>
      <c r="AV196" s="336"/>
      <c r="AW196" s="336"/>
      <c r="AX196" s="339"/>
      <c r="AY196" s="361"/>
      <c r="AZ196" s="336"/>
      <c r="BA196" s="336"/>
      <c r="BB196" s="790"/>
      <c r="BC196" s="790"/>
      <c r="BD196" s="790"/>
      <c r="BE196" s="848"/>
      <c r="BF196" s="779"/>
      <c r="BG196" s="779"/>
    </row>
    <row r="197" spans="1:59">
      <c r="A197" s="693"/>
      <c r="B197" s="639"/>
      <c r="C197" s="661"/>
      <c r="D197" s="572"/>
      <c r="E197" s="572"/>
      <c r="F197" s="572"/>
      <c r="G197" s="329"/>
      <c r="H197" s="337"/>
      <c r="I197" s="337"/>
      <c r="J197" s="572"/>
      <c r="K197" s="565"/>
      <c r="L197" s="573"/>
      <c r="M197" s="565"/>
      <c r="N197" s="565"/>
      <c r="O197" s="354"/>
      <c r="P197" s="330"/>
      <c r="Q197" s="350"/>
      <c r="R197" s="332"/>
      <c r="S197" s="333" t="str">
        <f t="shared" si="326"/>
        <v>0</v>
      </c>
      <c r="T197" s="332"/>
      <c r="U197" s="333" t="str">
        <f t="shared" si="327"/>
        <v>0</v>
      </c>
      <c r="V197" s="332"/>
      <c r="W197" s="333" t="str">
        <f t="shared" si="328"/>
        <v>0</v>
      </c>
      <c r="X197" s="332"/>
      <c r="Y197" s="333" t="str">
        <f t="shared" si="329"/>
        <v>0</v>
      </c>
      <c r="Z197" s="332"/>
      <c r="AA197" s="333" t="str">
        <f t="shared" si="330"/>
        <v>0</v>
      </c>
      <c r="AB197" s="332"/>
      <c r="AC197" s="333" t="str">
        <f t="shared" si="331"/>
        <v>0</v>
      </c>
      <c r="AD197" s="332"/>
      <c r="AE197" s="333" t="str">
        <f t="shared" si="332"/>
        <v>0</v>
      </c>
      <c r="AF197" s="334" t="str">
        <f t="shared" si="337"/>
        <v/>
      </c>
      <c r="AG197" s="334" t="str">
        <f t="shared" si="334"/>
        <v/>
      </c>
      <c r="AH197" s="335"/>
      <c r="AI197" s="334" t="str">
        <f t="shared" si="335"/>
        <v/>
      </c>
      <c r="AJ197" s="334" t="str">
        <f>IFERROR(VLOOKUP((CONCATENATE(AG197,AI197)),Listados!$U$3:$V$11,2,FALSE),"")</f>
        <v/>
      </c>
      <c r="AK197" s="334" t="str">
        <f t="shared" si="336"/>
        <v/>
      </c>
      <c r="AL197" s="558"/>
      <c r="AM197" s="558"/>
      <c r="AN197" s="558"/>
      <c r="AO197" s="558"/>
      <c r="AP197" s="567"/>
      <c r="AQ197" s="567"/>
      <c r="AR197" s="565"/>
      <c r="AS197" s="565"/>
      <c r="AT197" s="565"/>
      <c r="AU197" s="565"/>
      <c r="AV197" s="336"/>
      <c r="AW197" s="336"/>
      <c r="AX197" s="336"/>
      <c r="AY197" s="336"/>
      <c r="AZ197" s="336"/>
      <c r="BA197" s="336"/>
      <c r="BB197" s="790"/>
      <c r="BC197" s="790"/>
      <c r="BD197" s="790"/>
      <c r="BE197" s="848"/>
      <c r="BF197" s="779"/>
      <c r="BG197" s="779"/>
    </row>
    <row r="198" spans="1:59">
      <c r="A198" s="693"/>
      <c r="B198" s="639"/>
      <c r="C198" s="661"/>
      <c r="D198" s="572"/>
      <c r="E198" s="572"/>
      <c r="F198" s="572"/>
      <c r="G198" s="329"/>
      <c r="H198" s="337"/>
      <c r="I198" s="337"/>
      <c r="J198" s="572"/>
      <c r="K198" s="565"/>
      <c r="L198" s="573"/>
      <c r="M198" s="565"/>
      <c r="N198" s="565"/>
      <c r="O198" s="347"/>
      <c r="P198" s="338"/>
      <c r="Q198" s="348"/>
      <c r="R198" s="332"/>
      <c r="S198" s="333" t="str">
        <f t="shared" si="326"/>
        <v>0</v>
      </c>
      <c r="T198" s="332"/>
      <c r="U198" s="333" t="str">
        <f t="shared" si="327"/>
        <v>0</v>
      </c>
      <c r="V198" s="332"/>
      <c r="W198" s="333" t="str">
        <f t="shared" si="328"/>
        <v>0</v>
      </c>
      <c r="X198" s="332"/>
      <c r="Y198" s="333" t="str">
        <f t="shared" si="329"/>
        <v>0</v>
      </c>
      <c r="Z198" s="332"/>
      <c r="AA198" s="333" t="str">
        <f t="shared" si="330"/>
        <v>0</v>
      </c>
      <c r="AB198" s="332"/>
      <c r="AC198" s="333" t="str">
        <f t="shared" si="331"/>
        <v>0</v>
      </c>
      <c r="AD198" s="332"/>
      <c r="AE198" s="333" t="str">
        <f t="shared" si="332"/>
        <v>0</v>
      </c>
      <c r="AF198" s="334" t="str">
        <f t="shared" si="337"/>
        <v/>
      </c>
      <c r="AG198" s="334" t="str">
        <f t="shared" si="334"/>
        <v/>
      </c>
      <c r="AH198" s="335"/>
      <c r="AI198" s="334" t="str">
        <f t="shared" si="335"/>
        <v/>
      </c>
      <c r="AJ198" s="334" t="str">
        <f>IFERROR(VLOOKUP((CONCATENATE(AG198,AI198)),Listados!$U$3:$V$11,2,FALSE),"")</f>
        <v/>
      </c>
      <c r="AK198" s="334" t="str">
        <f t="shared" si="336"/>
        <v/>
      </c>
      <c r="AL198" s="558"/>
      <c r="AM198" s="558"/>
      <c r="AN198" s="558"/>
      <c r="AO198" s="558"/>
      <c r="AP198" s="567"/>
      <c r="AQ198" s="567"/>
      <c r="AR198" s="565"/>
      <c r="AS198" s="565"/>
      <c r="AT198" s="565"/>
      <c r="AU198" s="565"/>
      <c r="AV198" s="336"/>
      <c r="AW198" s="336"/>
      <c r="AX198" s="339"/>
      <c r="AY198" s="339"/>
      <c r="AZ198" s="336"/>
      <c r="BA198" s="336"/>
      <c r="BB198" s="790"/>
      <c r="BC198" s="790"/>
      <c r="BD198" s="790"/>
      <c r="BE198" s="848"/>
      <c r="BF198" s="779"/>
      <c r="BG198" s="779"/>
    </row>
    <row r="199" spans="1:59" ht="15.75" thickBot="1">
      <c r="A199" s="693"/>
      <c r="B199" s="639"/>
      <c r="C199" s="661"/>
      <c r="D199" s="572"/>
      <c r="E199" s="572"/>
      <c r="F199" s="572"/>
      <c r="G199" s="329"/>
      <c r="H199" s="337"/>
      <c r="I199" s="337"/>
      <c r="J199" s="572"/>
      <c r="K199" s="565"/>
      <c r="L199" s="573"/>
      <c r="M199" s="565"/>
      <c r="N199" s="565"/>
      <c r="O199" s="347"/>
      <c r="P199" s="338"/>
      <c r="Q199" s="348"/>
      <c r="R199" s="332"/>
      <c r="S199" s="333" t="str">
        <f t="shared" si="326"/>
        <v>0</v>
      </c>
      <c r="T199" s="332"/>
      <c r="U199" s="333" t="str">
        <f t="shared" si="327"/>
        <v>0</v>
      </c>
      <c r="V199" s="332"/>
      <c r="W199" s="333" t="str">
        <f t="shared" si="328"/>
        <v>0</v>
      </c>
      <c r="X199" s="332"/>
      <c r="Y199" s="333" t="str">
        <f t="shared" si="329"/>
        <v>0</v>
      </c>
      <c r="Z199" s="332"/>
      <c r="AA199" s="333" t="str">
        <f t="shared" si="330"/>
        <v>0</v>
      </c>
      <c r="AB199" s="332"/>
      <c r="AC199" s="333" t="str">
        <f t="shared" si="331"/>
        <v>0</v>
      </c>
      <c r="AD199" s="332"/>
      <c r="AE199" s="333" t="str">
        <f t="shared" si="332"/>
        <v>0</v>
      </c>
      <c r="AF199" s="334" t="str">
        <f t="shared" si="337"/>
        <v/>
      </c>
      <c r="AG199" s="334" t="str">
        <f t="shared" si="334"/>
        <v/>
      </c>
      <c r="AH199" s="335"/>
      <c r="AI199" s="334" t="str">
        <f t="shared" si="335"/>
        <v/>
      </c>
      <c r="AJ199" s="334" t="str">
        <f>IFERROR(VLOOKUP((CONCATENATE(AG199,AI199)),Listados!$U$3:$V$11,2,FALSE),"")</f>
        <v/>
      </c>
      <c r="AK199" s="334" t="str">
        <f t="shared" si="336"/>
        <v/>
      </c>
      <c r="AL199" s="558"/>
      <c r="AM199" s="558"/>
      <c r="AN199" s="558"/>
      <c r="AO199" s="558"/>
      <c r="AP199" s="564"/>
      <c r="AQ199" s="564"/>
      <c r="AR199" s="565"/>
      <c r="AS199" s="565"/>
      <c r="AT199" s="565"/>
      <c r="AU199" s="565"/>
      <c r="AV199" s="336"/>
      <c r="AW199" s="336"/>
      <c r="AX199" s="339"/>
      <c r="AY199" s="339"/>
      <c r="AZ199" s="336"/>
      <c r="BA199" s="336"/>
      <c r="BB199" s="825"/>
      <c r="BC199" s="825"/>
      <c r="BD199" s="825"/>
      <c r="BE199" s="849"/>
      <c r="BF199" s="780"/>
      <c r="BG199" s="780"/>
    </row>
    <row r="200" spans="1:59">
      <c r="A200" s="693">
        <v>52</v>
      </c>
      <c r="B200" s="639"/>
      <c r="C200" s="661"/>
      <c r="D200" s="572"/>
      <c r="E200" s="574"/>
      <c r="F200" s="574"/>
      <c r="G200" s="329"/>
      <c r="H200" s="337"/>
      <c r="I200" s="337"/>
      <c r="J200" s="572"/>
      <c r="K200" s="565" t="e">
        <f>+VLOOKUP(J200,Listados!$K$8:$L$12,2,0)</f>
        <v>#N/A</v>
      </c>
      <c r="L200" s="573"/>
      <c r="M200" s="565" t="e">
        <f>+VLOOKUP(L200,Listados!$K$13:$L$17,2,0)</f>
        <v>#N/A</v>
      </c>
      <c r="N200" s="565" t="str">
        <f>IF(AND(J200&lt;&gt;"",L200&lt;&gt;""),VLOOKUP(J200&amp;L200,Listados!$M$3:$N$27,2,FALSE),"")</f>
        <v/>
      </c>
      <c r="O200" s="354"/>
      <c r="P200" s="330"/>
      <c r="Q200" s="350"/>
      <c r="R200" s="332"/>
      <c r="S200" s="333" t="str">
        <f t="shared" si="326"/>
        <v>0</v>
      </c>
      <c r="T200" s="332"/>
      <c r="U200" s="333" t="str">
        <f t="shared" si="327"/>
        <v>0</v>
      </c>
      <c r="V200" s="332"/>
      <c r="W200" s="333" t="str">
        <f t="shared" si="328"/>
        <v>0</v>
      </c>
      <c r="X200" s="332"/>
      <c r="Y200" s="333" t="str">
        <f t="shared" si="329"/>
        <v>0</v>
      </c>
      <c r="Z200" s="332"/>
      <c r="AA200" s="333" t="str">
        <f t="shared" si="330"/>
        <v>0</v>
      </c>
      <c r="AB200" s="332"/>
      <c r="AC200" s="333" t="str">
        <f t="shared" si="331"/>
        <v>0</v>
      </c>
      <c r="AD200" s="332"/>
      <c r="AE200" s="333" t="str">
        <f t="shared" si="332"/>
        <v>0</v>
      </c>
      <c r="AF200" s="334" t="str">
        <f t="shared" si="337"/>
        <v/>
      </c>
      <c r="AG200" s="334" t="str">
        <f t="shared" si="334"/>
        <v/>
      </c>
      <c r="AH200" s="335"/>
      <c r="AI200" s="334" t="str">
        <f t="shared" si="335"/>
        <v/>
      </c>
      <c r="AJ200" s="334" t="str">
        <f>IFERROR(VLOOKUP((CONCATENATE(AG200,AI200)),Listados!$U$3:$V$11,2,FALSE),"")</f>
        <v/>
      </c>
      <c r="AK200" s="334" t="str">
        <f t="shared" si="336"/>
        <v/>
      </c>
      <c r="AL200" s="558" t="e">
        <f t="shared" ref="AL200" si="344">AVERAGE(AK200:AK203)</f>
        <v>#DIV/0!</v>
      </c>
      <c r="AM200" s="558" t="e">
        <f t="shared" ref="AM200" si="345">IF(AL200&lt;=50,"Débil",IF(AL200&lt;=99,"Moderado",IF(AL200=100,"fuerte","")))</f>
        <v>#DIV/0!</v>
      </c>
      <c r="AN200" s="558" t="e">
        <f t="shared" ref="AN200" si="346">+IF(AND(Q200="Preventivo",AM200="Fuerte"),2,IF(AND(Q200="Preventivo",AM200="Moderado"),1,0))</f>
        <v>#DIV/0!</v>
      </c>
      <c r="AO200" s="558" t="e">
        <f t="shared" ref="AO200" si="347">+IF(AND(Q200="Detectivo",$AM200="Fuerte"),2,IF(AND(Q200="Detectivo",$AM200="Moderado"),1,IF(AND(Q200="Preventivo",$AM200="Fuerte"),1,0)))</f>
        <v>#DIV/0!</v>
      </c>
      <c r="AP200" s="566" t="e">
        <f t="shared" ref="AP200" si="348">+K200-AN200</f>
        <v>#N/A</v>
      </c>
      <c r="AQ200" s="566" t="e">
        <f t="shared" ref="AQ200" si="349">+M200-AO200</f>
        <v>#N/A</v>
      </c>
      <c r="AR200" s="565" t="e">
        <f>+VLOOKUP(MIN(AP200),Listados!$J$18:$K$24,2,TRUE)</f>
        <v>#N/A</v>
      </c>
      <c r="AS200" s="565" t="e">
        <f>+VLOOKUP(MIN(AQ200),Listados!$J$26:$K$32,2,TRUE)</f>
        <v>#N/A</v>
      </c>
      <c r="AT200" s="565" t="e">
        <f>IF(AND(AR200&lt;&gt;"",AS200&lt;&gt;""),VLOOKUP(AR200&amp;AS200,Listados!$M$3:$N$27,2,FALSE),"")</f>
        <v>#N/A</v>
      </c>
      <c r="AU200" s="565" t="e">
        <f>+VLOOKUP(AT200,Listados!$P$3:$Q$6,2,FALSE)</f>
        <v>#N/A</v>
      </c>
      <c r="AV200" s="336"/>
      <c r="AW200" s="336"/>
      <c r="AX200" s="339"/>
      <c r="AY200" s="361"/>
      <c r="AZ200" s="336"/>
      <c r="BA200" s="336"/>
      <c r="BB200" s="790"/>
      <c r="BC200" s="790"/>
      <c r="BD200" s="790"/>
      <c r="BE200" s="848"/>
      <c r="BF200" s="779"/>
      <c r="BG200" s="779"/>
    </row>
    <row r="201" spans="1:59">
      <c r="A201" s="693"/>
      <c r="B201" s="639"/>
      <c r="C201" s="661"/>
      <c r="D201" s="572"/>
      <c r="E201" s="572"/>
      <c r="F201" s="572"/>
      <c r="G201" s="329"/>
      <c r="H201" s="337"/>
      <c r="I201" s="337"/>
      <c r="J201" s="572"/>
      <c r="K201" s="565"/>
      <c r="L201" s="573"/>
      <c r="M201" s="565"/>
      <c r="N201" s="565"/>
      <c r="O201" s="354"/>
      <c r="P201" s="330"/>
      <c r="Q201" s="350"/>
      <c r="R201" s="332"/>
      <c r="S201" s="333" t="str">
        <f t="shared" si="326"/>
        <v>0</v>
      </c>
      <c r="T201" s="332"/>
      <c r="U201" s="333" t="str">
        <f t="shared" si="327"/>
        <v>0</v>
      </c>
      <c r="V201" s="332"/>
      <c r="W201" s="333" t="str">
        <f t="shared" si="328"/>
        <v>0</v>
      </c>
      <c r="X201" s="332"/>
      <c r="Y201" s="333" t="str">
        <f t="shared" si="329"/>
        <v>0</v>
      </c>
      <c r="Z201" s="332"/>
      <c r="AA201" s="333" t="str">
        <f t="shared" si="330"/>
        <v>0</v>
      </c>
      <c r="AB201" s="332"/>
      <c r="AC201" s="333" t="str">
        <f t="shared" si="331"/>
        <v>0</v>
      </c>
      <c r="AD201" s="332"/>
      <c r="AE201" s="333" t="str">
        <f t="shared" si="332"/>
        <v>0</v>
      </c>
      <c r="AF201" s="334" t="str">
        <f t="shared" si="337"/>
        <v/>
      </c>
      <c r="AG201" s="334" t="str">
        <f t="shared" si="334"/>
        <v/>
      </c>
      <c r="AH201" s="335"/>
      <c r="AI201" s="334" t="str">
        <f t="shared" si="335"/>
        <v/>
      </c>
      <c r="AJ201" s="334" t="str">
        <f>IFERROR(VLOOKUP((CONCATENATE(AG201,AI201)),Listados!$U$3:$V$11,2,FALSE),"")</f>
        <v/>
      </c>
      <c r="AK201" s="334" t="str">
        <f t="shared" si="336"/>
        <v/>
      </c>
      <c r="AL201" s="558"/>
      <c r="AM201" s="558"/>
      <c r="AN201" s="558"/>
      <c r="AO201" s="558"/>
      <c r="AP201" s="567"/>
      <c r="AQ201" s="567"/>
      <c r="AR201" s="565"/>
      <c r="AS201" s="565"/>
      <c r="AT201" s="565"/>
      <c r="AU201" s="565"/>
      <c r="AV201" s="336"/>
      <c r="AW201" s="336"/>
      <c r="AX201" s="336"/>
      <c r="AY201" s="336"/>
      <c r="AZ201" s="336"/>
      <c r="BA201" s="336"/>
      <c r="BB201" s="790"/>
      <c r="BC201" s="790"/>
      <c r="BD201" s="790"/>
      <c r="BE201" s="848"/>
      <c r="BF201" s="779"/>
      <c r="BG201" s="779"/>
    </row>
    <row r="202" spans="1:59">
      <c r="A202" s="693"/>
      <c r="B202" s="639"/>
      <c r="C202" s="661"/>
      <c r="D202" s="572"/>
      <c r="E202" s="572"/>
      <c r="F202" s="572"/>
      <c r="G202" s="329"/>
      <c r="H202" s="337"/>
      <c r="I202" s="337"/>
      <c r="J202" s="572"/>
      <c r="K202" s="565"/>
      <c r="L202" s="573"/>
      <c r="M202" s="565"/>
      <c r="N202" s="565"/>
      <c r="O202" s="347"/>
      <c r="P202" s="338"/>
      <c r="Q202" s="348"/>
      <c r="R202" s="332"/>
      <c r="S202" s="333" t="str">
        <f t="shared" si="326"/>
        <v>0</v>
      </c>
      <c r="T202" s="332"/>
      <c r="U202" s="333" t="str">
        <f t="shared" si="327"/>
        <v>0</v>
      </c>
      <c r="V202" s="332"/>
      <c r="W202" s="333" t="str">
        <f t="shared" si="328"/>
        <v>0</v>
      </c>
      <c r="X202" s="332"/>
      <c r="Y202" s="333" t="str">
        <f t="shared" si="329"/>
        <v>0</v>
      </c>
      <c r="Z202" s="332"/>
      <c r="AA202" s="333" t="str">
        <f t="shared" si="330"/>
        <v>0</v>
      </c>
      <c r="AB202" s="332"/>
      <c r="AC202" s="333" t="str">
        <f t="shared" si="331"/>
        <v>0</v>
      </c>
      <c r="AD202" s="332"/>
      <c r="AE202" s="333" t="str">
        <f t="shared" si="332"/>
        <v>0</v>
      </c>
      <c r="AF202" s="334" t="str">
        <f t="shared" si="337"/>
        <v/>
      </c>
      <c r="AG202" s="334" t="str">
        <f t="shared" si="334"/>
        <v/>
      </c>
      <c r="AH202" s="335"/>
      <c r="AI202" s="334" t="str">
        <f t="shared" si="335"/>
        <v/>
      </c>
      <c r="AJ202" s="334" t="str">
        <f>IFERROR(VLOOKUP((CONCATENATE(AG202,AI202)),Listados!$U$3:$V$11,2,FALSE),"")</f>
        <v/>
      </c>
      <c r="AK202" s="334" t="str">
        <f t="shared" si="336"/>
        <v/>
      </c>
      <c r="AL202" s="558"/>
      <c r="AM202" s="558"/>
      <c r="AN202" s="558"/>
      <c r="AO202" s="558"/>
      <c r="AP202" s="567"/>
      <c r="AQ202" s="567"/>
      <c r="AR202" s="565"/>
      <c r="AS202" s="565"/>
      <c r="AT202" s="565"/>
      <c r="AU202" s="565"/>
      <c r="AV202" s="336"/>
      <c r="AW202" s="336"/>
      <c r="AX202" s="339"/>
      <c r="AY202" s="339"/>
      <c r="AZ202" s="336"/>
      <c r="BA202" s="336"/>
      <c r="BB202" s="790"/>
      <c r="BC202" s="790"/>
      <c r="BD202" s="790"/>
      <c r="BE202" s="848"/>
      <c r="BF202" s="779"/>
      <c r="BG202" s="779"/>
    </row>
    <row r="203" spans="1:59" ht="15.75" thickBot="1">
      <c r="A203" s="693"/>
      <c r="B203" s="639"/>
      <c r="C203" s="661"/>
      <c r="D203" s="572"/>
      <c r="E203" s="572"/>
      <c r="F203" s="572"/>
      <c r="G203" s="329"/>
      <c r="H203" s="337"/>
      <c r="I203" s="337"/>
      <c r="J203" s="572"/>
      <c r="K203" s="565"/>
      <c r="L203" s="573"/>
      <c r="M203" s="565"/>
      <c r="N203" s="565"/>
      <c r="O203" s="347"/>
      <c r="P203" s="338"/>
      <c r="Q203" s="348"/>
      <c r="R203" s="332"/>
      <c r="S203" s="333" t="str">
        <f t="shared" si="326"/>
        <v>0</v>
      </c>
      <c r="T203" s="332"/>
      <c r="U203" s="333" t="str">
        <f t="shared" si="327"/>
        <v>0</v>
      </c>
      <c r="V203" s="332"/>
      <c r="W203" s="333" t="str">
        <f t="shared" si="328"/>
        <v>0</v>
      </c>
      <c r="X203" s="332"/>
      <c r="Y203" s="333" t="str">
        <f t="shared" si="329"/>
        <v>0</v>
      </c>
      <c r="Z203" s="332"/>
      <c r="AA203" s="333" t="str">
        <f t="shared" si="330"/>
        <v>0</v>
      </c>
      <c r="AB203" s="332"/>
      <c r="AC203" s="333" t="str">
        <f t="shared" si="331"/>
        <v>0</v>
      </c>
      <c r="AD203" s="332"/>
      <c r="AE203" s="333" t="str">
        <f t="shared" si="332"/>
        <v>0</v>
      </c>
      <c r="AF203" s="334" t="str">
        <f t="shared" si="337"/>
        <v/>
      </c>
      <c r="AG203" s="334" t="str">
        <f t="shared" si="334"/>
        <v/>
      </c>
      <c r="AH203" s="335"/>
      <c r="AI203" s="334" t="str">
        <f t="shared" si="335"/>
        <v/>
      </c>
      <c r="AJ203" s="334" t="str">
        <f>IFERROR(VLOOKUP((CONCATENATE(AG203,AI203)),Listados!$U$3:$V$11,2,FALSE),"")</f>
        <v/>
      </c>
      <c r="AK203" s="334" t="str">
        <f t="shared" si="336"/>
        <v/>
      </c>
      <c r="AL203" s="558"/>
      <c r="AM203" s="558"/>
      <c r="AN203" s="558"/>
      <c r="AO203" s="558"/>
      <c r="AP203" s="564"/>
      <c r="AQ203" s="564"/>
      <c r="AR203" s="565"/>
      <c r="AS203" s="565"/>
      <c r="AT203" s="565"/>
      <c r="AU203" s="565"/>
      <c r="AV203" s="336"/>
      <c r="AW203" s="336"/>
      <c r="AX203" s="339"/>
      <c r="AY203" s="339"/>
      <c r="AZ203" s="336"/>
      <c r="BA203" s="336"/>
      <c r="BB203" s="825"/>
      <c r="BC203" s="825"/>
      <c r="BD203" s="825"/>
      <c r="BE203" s="849"/>
      <c r="BF203" s="780"/>
      <c r="BG203" s="780"/>
    </row>
    <row r="204" spans="1:59">
      <c r="A204" s="693">
        <v>53</v>
      </c>
      <c r="B204" s="639"/>
      <c r="C204" s="661"/>
      <c r="D204" s="572"/>
      <c r="E204" s="574"/>
      <c r="F204" s="574"/>
      <c r="G204" s="329"/>
      <c r="H204" s="337"/>
      <c r="I204" s="337"/>
      <c r="J204" s="572"/>
      <c r="K204" s="565" t="e">
        <f>+VLOOKUP(J204,Listados!$K$8:$L$12,2,0)</f>
        <v>#N/A</v>
      </c>
      <c r="L204" s="573"/>
      <c r="M204" s="565" t="e">
        <f>+VLOOKUP(L204,Listados!$K$13:$L$17,2,0)</f>
        <v>#N/A</v>
      </c>
      <c r="N204" s="565" t="str">
        <f>IF(AND(J204&lt;&gt;"",L204&lt;&gt;""),VLOOKUP(J204&amp;L204,Listados!$M$3:$N$27,2,FALSE),"")</f>
        <v/>
      </c>
      <c r="O204" s="354"/>
      <c r="P204" s="330"/>
      <c r="Q204" s="350"/>
      <c r="R204" s="332"/>
      <c r="S204" s="333" t="str">
        <f t="shared" si="326"/>
        <v>0</v>
      </c>
      <c r="T204" s="332"/>
      <c r="U204" s="333" t="str">
        <f t="shared" si="327"/>
        <v>0</v>
      </c>
      <c r="V204" s="332"/>
      <c r="W204" s="333" t="str">
        <f t="shared" si="328"/>
        <v>0</v>
      </c>
      <c r="X204" s="332"/>
      <c r="Y204" s="333" t="str">
        <f t="shared" si="329"/>
        <v>0</v>
      </c>
      <c r="Z204" s="332"/>
      <c r="AA204" s="333" t="str">
        <f t="shared" si="330"/>
        <v>0</v>
      </c>
      <c r="AB204" s="332"/>
      <c r="AC204" s="333" t="str">
        <f t="shared" si="331"/>
        <v>0</v>
      </c>
      <c r="AD204" s="332"/>
      <c r="AE204" s="333" t="str">
        <f t="shared" si="332"/>
        <v>0</v>
      </c>
      <c r="AF204" s="334" t="str">
        <f t="shared" si="337"/>
        <v/>
      </c>
      <c r="AG204" s="334" t="str">
        <f t="shared" si="334"/>
        <v/>
      </c>
      <c r="AH204" s="335"/>
      <c r="AI204" s="334" t="str">
        <f t="shared" si="335"/>
        <v/>
      </c>
      <c r="AJ204" s="334" t="str">
        <f>IFERROR(VLOOKUP((CONCATENATE(AG204,AI204)),Listados!$U$3:$V$11,2,FALSE),"")</f>
        <v/>
      </c>
      <c r="AK204" s="334" t="str">
        <f t="shared" si="336"/>
        <v/>
      </c>
      <c r="AL204" s="558" t="e">
        <f t="shared" ref="AL204" si="350">AVERAGE(AK204:AK207)</f>
        <v>#DIV/0!</v>
      </c>
      <c r="AM204" s="558" t="e">
        <f t="shared" ref="AM204" si="351">IF(AL204&lt;=50,"Débil",IF(AL204&lt;=99,"Moderado",IF(AL204=100,"fuerte","")))</f>
        <v>#DIV/0!</v>
      </c>
      <c r="AN204" s="558" t="e">
        <f t="shared" ref="AN204" si="352">+IF(AND(Q204="Preventivo",AM204="Fuerte"),2,IF(AND(Q204="Preventivo",AM204="Moderado"),1,0))</f>
        <v>#DIV/0!</v>
      </c>
      <c r="AO204" s="558" t="e">
        <f t="shared" ref="AO204" si="353">+IF(AND(Q204="Detectivo",$AM204="Fuerte"),2,IF(AND(Q204="Detectivo",$AM204="Moderado"),1,IF(AND(Q204="Preventivo",$AM204="Fuerte"),1,0)))</f>
        <v>#DIV/0!</v>
      </c>
      <c r="AP204" s="566" t="e">
        <f t="shared" ref="AP204" si="354">+K204-AN204</f>
        <v>#N/A</v>
      </c>
      <c r="AQ204" s="566" t="e">
        <f t="shared" ref="AQ204" si="355">+M204-AO204</f>
        <v>#N/A</v>
      </c>
      <c r="AR204" s="565" t="e">
        <f>+VLOOKUP(MIN(AP204),Listados!$J$18:$K$24,2,TRUE)</f>
        <v>#N/A</v>
      </c>
      <c r="AS204" s="565" t="e">
        <f>+VLOOKUP(MIN(AQ204),Listados!$J$26:$K$32,2,TRUE)</f>
        <v>#N/A</v>
      </c>
      <c r="AT204" s="565" t="e">
        <f>IF(AND(AR204&lt;&gt;"",AS204&lt;&gt;""),VLOOKUP(AR204&amp;AS204,Listados!$M$3:$N$27,2,FALSE),"")</f>
        <v>#N/A</v>
      </c>
      <c r="AU204" s="565" t="e">
        <f>+VLOOKUP(AT204,Listados!$P$3:$Q$6,2,FALSE)</f>
        <v>#N/A</v>
      </c>
      <c r="AV204" s="336"/>
      <c r="AW204" s="336"/>
      <c r="AX204" s="339"/>
      <c r="AY204" s="361"/>
      <c r="AZ204" s="336"/>
      <c r="BA204" s="336"/>
      <c r="BB204" s="790"/>
      <c r="BC204" s="790"/>
      <c r="BD204" s="790"/>
      <c r="BE204" s="848"/>
      <c r="BF204" s="779"/>
      <c r="BG204" s="779"/>
    </row>
    <row r="205" spans="1:59">
      <c r="A205" s="693"/>
      <c r="B205" s="639"/>
      <c r="C205" s="661"/>
      <c r="D205" s="572"/>
      <c r="E205" s="572"/>
      <c r="F205" s="572"/>
      <c r="G205" s="329"/>
      <c r="H205" s="337"/>
      <c r="I205" s="337"/>
      <c r="J205" s="572"/>
      <c r="K205" s="565"/>
      <c r="L205" s="573"/>
      <c r="M205" s="565"/>
      <c r="N205" s="565"/>
      <c r="O205" s="354"/>
      <c r="P205" s="330"/>
      <c r="Q205" s="350"/>
      <c r="R205" s="332"/>
      <c r="S205" s="333" t="str">
        <f t="shared" si="326"/>
        <v>0</v>
      </c>
      <c r="T205" s="332"/>
      <c r="U205" s="333" t="str">
        <f t="shared" si="327"/>
        <v>0</v>
      </c>
      <c r="V205" s="332"/>
      <c r="W205" s="333" t="str">
        <f t="shared" si="328"/>
        <v>0</v>
      </c>
      <c r="X205" s="332"/>
      <c r="Y205" s="333" t="str">
        <f t="shared" si="329"/>
        <v>0</v>
      </c>
      <c r="Z205" s="332"/>
      <c r="AA205" s="333" t="str">
        <f t="shared" si="330"/>
        <v>0</v>
      </c>
      <c r="AB205" s="332"/>
      <c r="AC205" s="333" t="str">
        <f t="shared" si="331"/>
        <v>0</v>
      </c>
      <c r="AD205" s="332"/>
      <c r="AE205" s="333" t="str">
        <f t="shared" si="332"/>
        <v>0</v>
      </c>
      <c r="AF205" s="334" t="str">
        <f t="shared" si="337"/>
        <v/>
      </c>
      <c r="AG205" s="334" t="str">
        <f t="shared" si="334"/>
        <v/>
      </c>
      <c r="AH205" s="335"/>
      <c r="AI205" s="334" t="str">
        <f t="shared" si="335"/>
        <v/>
      </c>
      <c r="AJ205" s="334" t="str">
        <f>IFERROR(VLOOKUP((CONCATENATE(AG205,AI205)),Listados!$U$3:$V$11,2,FALSE),"")</f>
        <v/>
      </c>
      <c r="AK205" s="334" t="str">
        <f t="shared" si="336"/>
        <v/>
      </c>
      <c r="AL205" s="558"/>
      <c r="AM205" s="558"/>
      <c r="AN205" s="558"/>
      <c r="AO205" s="558"/>
      <c r="AP205" s="567"/>
      <c r="AQ205" s="567"/>
      <c r="AR205" s="565"/>
      <c r="AS205" s="565"/>
      <c r="AT205" s="565"/>
      <c r="AU205" s="565"/>
      <c r="AV205" s="336"/>
      <c r="AW205" s="336"/>
      <c r="AX205" s="336"/>
      <c r="AY205" s="336"/>
      <c r="AZ205" s="336"/>
      <c r="BA205" s="336"/>
      <c r="BB205" s="790"/>
      <c r="BC205" s="790"/>
      <c r="BD205" s="790"/>
      <c r="BE205" s="848"/>
      <c r="BF205" s="779"/>
      <c r="BG205" s="779"/>
    </row>
    <row r="206" spans="1:59">
      <c r="A206" s="693"/>
      <c r="B206" s="639"/>
      <c r="C206" s="661"/>
      <c r="D206" s="572"/>
      <c r="E206" s="572"/>
      <c r="F206" s="572"/>
      <c r="G206" s="329"/>
      <c r="H206" s="337"/>
      <c r="I206" s="337"/>
      <c r="J206" s="572"/>
      <c r="K206" s="565"/>
      <c r="L206" s="573"/>
      <c r="M206" s="565"/>
      <c r="N206" s="565"/>
      <c r="O206" s="347"/>
      <c r="P206" s="338"/>
      <c r="Q206" s="348"/>
      <c r="R206" s="332"/>
      <c r="S206" s="333" t="str">
        <f t="shared" si="326"/>
        <v>0</v>
      </c>
      <c r="T206" s="332"/>
      <c r="U206" s="333" t="str">
        <f t="shared" si="327"/>
        <v>0</v>
      </c>
      <c r="V206" s="332"/>
      <c r="W206" s="333" t="str">
        <f t="shared" si="328"/>
        <v>0</v>
      </c>
      <c r="X206" s="332"/>
      <c r="Y206" s="333" t="str">
        <f t="shared" si="329"/>
        <v>0</v>
      </c>
      <c r="Z206" s="332"/>
      <c r="AA206" s="333" t="str">
        <f t="shared" si="330"/>
        <v>0</v>
      </c>
      <c r="AB206" s="332"/>
      <c r="AC206" s="333" t="str">
        <f t="shared" si="331"/>
        <v>0</v>
      </c>
      <c r="AD206" s="332"/>
      <c r="AE206" s="333" t="str">
        <f t="shared" si="332"/>
        <v>0</v>
      </c>
      <c r="AF206" s="334" t="str">
        <f t="shared" si="337"/>
        <v/>
      </c>
      <c r="AG206" s="334" t="str">
        <f t="shared" si="334"/>
        <v/>
      </c>
      <c r="AH206" s="335"/>
      <c r="AI206" s="334" t="str">
        <f t="shared" si="335"/>
        <v/>
      </c>
      <c r="AJ206" s="334" t="str">
        <f>IFERROR(VLOOKUP((CONCATENATE(AG206,AI206)),Listados!$U$3:$V$11,2,FALSE),"")</f>
        <v/>
      </c>
      <c r="AK206" s="334" t="str">
        <f t="shared" si="336"/>
        <v/>
      </c>
      <c r="AL206" s="558"/>
      <c r="AM206" s="558"/>
      <c r="AN206" s="558"/>
      <c r="AO206" s="558"/>
      <c r="AP206" s="567"/>
      <c r="AQ206" s="567"/>
      <c r="AR206" s="565"/>
      <c r="AS206" s="565"/>
      <c r="AT206" s="565"/>
      <c r="AU206" s="565"/>
      <c r="AV206" s="336"/>
      <c r="AW206" s="336"/>
      <c r="AX206" s="339"/>
      <c r="AY206" s="339"/>
      <c r="AZ206" s="336"/>
      <c r="BA206" s="336"/>
      <c r="BB206" s="790"/>
      <c r="BC206" s="790"/>
      <c r="BD206" s="790"/>
      <c r="BE206" s="848"/>
      <c r="BF206" s="779"/>
      <c r="BG206" s="779"/>
    </row>
    <row r="207" spans="1:59" ht="15.75" thickBot="1">
      <c r="A207" s="693"/>
      <c r="B207" s="639"/>
      <c r="C207" s="661"/>
      <c r="D207" s="572"/>
      <c r="E207" s="572"/>
      <c r="F207" s="572"/>
      <c r="G207" s="329"/>
      <c r="H207" s="337"/>
      <c r="I207" s="337"/>
      <c r="J207" s="572"/>
      <c r="K207" s="565"/>
      <c r="L207" s="573"/>
      <c r="M207" s="565"/>
      <c r="N207" s="565"/>
      <c r="O207" s="347"/>
      <c r="P207" s="338"/>
      <c r="Q207" s="348"/>
      <c r="R207" s="332"/>
      <c r="S207" s="333" t="str">
        <f t="shared" si="326"/>
        <v>0</v>
      </c>
      <c r="T207" s="332"/>
      <c r="U207" s="333" t="str">
        <f t="shared" si="327"/>
        <v>0</v>
      </c>
      <c r="V207" s="332"/>
      <c r="W207" s="333" t="str">
        <f t="shared" si="328"/>
        <v>0</v>
      </c>
      <c r="X207" s="332"/>
      <c r="Y207" s="333" t="str">
        <f t="shared" si="329"/>
        <v>0</v>
      </c>
      <c r="Z207" s="332"/>
      <c r="AA207" s="333" t="str">
        <f t="shared" si="330"/>
        <v>0</v>
      </c>
      <c r="AB207" s="332"/>
      <c r="AC207" s="333" t="str">
        <f t="shared" si="331"/>
        <v>0</v>
      </c>
      <c r="AD207" s="332"/>
      <c r="AE207" s="333" t="str">
        <f t="shared" si="332"/>
        <v>0</v>
      </c>
      <c r="AF207" s="334" t="str">
        <f t="shared" si="337"/>
        <v/>
      </c>
      <c r="AG207" s="334" t="str">
        <f t="shared" si="334"/>
        <v/>
      </c>
      <c r="AH207" s="335"/>
      <c r="AI207" s="334" t="str">
        <f t="shared" si="335"/>
        <v/>
      </c>
      <c r="AJ207" s="334" t="str">
        <f>IFERROR(VLOOKUP((CONCATENATE(AG207,AI207)),Listados!$U$3:$V$11,2,FALSE),"")</f>
        <v/>
      </c>
      <c r="AK207" s="334" t="str">
        <f t="shared" si="336"/>
        <v/>
      </c>
      <c r="AL207" s="558"/>
      <c r="AM207" s="558"/>
      <c r="AN207" s="558"/>
      <c r="AO207" s="558"/>
      <c r="AP207" s="564"/>
      <c r="AQ207" s="564"/>
      <c r="AR207" s="565"/>
      <c r="AS207" s="565"/>
      <c r="AT207" s="565"/>
      <c r="AU207" s="565"/>
      <c r="AV207" s="336"/>
      <c r="AW207" s="336"/>
      <c r="AX207" s="339"/>
      <c r="AY207" s="339"/>
      <c r="AZ207" s="336"/>
      <c r="BA207" s="336"/>
      <c r="BB207" s="825"/>
      <c r="BC207" s="825"/>
      <c r="BD207" s="825"/>
      <c r="BE207" s="849"/>
      <c r="BF207" s="780"/>
      <c r="BG207" s="780"/>
    </row>
    <row r="208" spans="1:59">
      <c r="A208" s="693">
        <v>54</v>
      </c>
      <c r="B208" s="639"/>
      <c r="C208" s="661"/>
      <c r="D208" s="572"/>
      <c r="E208" s="574"/>
      <c r="F208" s="574"/>
      <c r="G208" s="329"/>
      <c r="H208" s="337"/>
      <c r="I208" s="337"/>
      <c r="J208" s="572"/>
      <c r="K208" s="565" t="e">
        <f>+VLOOKUP(J208,Listados!$K$8:$L$12,2,0)</f>
        <v>#N/A</v>
      </c>
      <c r="L208" s="573"/>
      <c r="M208" s="565" t="e">
        <f>+VLOOKUP(L208,Listados!$K$13:$L$17,2,0)</f>
        <v>#N/A</v>
      </c>
      <c r="N208" s="565" t="str">
        <f>IF(AND(J208&lt;&gt;"",L208&lt;&gt;""),VLOOKUP(J208&amp;L208,Listados!$M$3:$N$27,2,FALSE),"")</f>
        <v/>
      </c>
      <c r="O208" s="354"/>
      <c r="P208" s="330"/>
      <c r="Q208" s="350"/>
      <c r="R208" s="332"/>
      <c r="S208" s="333" t="str">
        <f t="shared" si="326"/>
        <v>0</v>
      </c>
      <c r="T208" s="332"/>
      <c r="U208" s="333" t="str">
        <f t="shared" si="327"/>
        <v>0</v>
      </c>
      <c r="V208" s="332"/>
      <c r="W208" s="333" t="str">
        <f t="shared" si="328"/>
        <v>0</v>
      </c>
      <c r="X208" s="332"/>
      <c r="Y208" s="333" t="str">
        <f t="shared" si="329"/>
        <v>0</v>
      </c>
      <c r="Z208" s="332"/>
      <c r="AA208" s="333" t="str">
        <f t="shared" si="330"/>
        <v>0</v>
      </c>
      <c r="AB208" s="332"/>
      <c r="AC208" s="333" t="str">
        <f t="shared" si="331"/>
        <v>0</v>
      </c>
      <c r="AD208" s="332"/>
      <c r="AE208" s="333" t="str">
        <f t="shared" si="332"/>
        <v>0</v>
      </c>
      <c r="AF208" s="334" t="str">
        <f t="shared" si="337"/>
        <v/>
      </c>
      <c r="AG208" s="334" t="str">
        <f t="shared" si="334"/>
        <v/>
      </c>
      <c r="AH208" s="335"/>
      <c r="AI208" s="334" t="str">
        <f t="shared" si="335"/>
        <v/>
      </c>
      <c r="AJ208" s="334" t="str">
        <f>IFERROR(VLOOKUP((CONCATENATE(AG208,AI208)),Listados!$U$3:$V$11,2,FALSE),"")</f>
        <v/>
      </c>
      <c r="AK208" s="334" t="str">
        <f t="shared" si="336"/>
        <v/>
      </c>
      <c r="AL208" s="558" t="e">
        <f t="shared" ref="AL208" si="356">AVERAGE(AK208:AK211)</f>
        <v>#DIV/0!</v>
      </c>
      <c r="AM208" s="558" t="e">
        <f t="shared" ref="AM208" si="357">IF(AL208&lt;=50,"Débil",IF(AL208&lt;=99,"Moderado",IF(AL208=100,"fuerte","")))</f>
        <v>#DIV/0!</v>
      </c>
      <c r="AN208" s="558" t="e">
        <f t="shared" ref="AN208" si="358">+IF(AND(Q208="Preventivo",AM208="Fuerte"),2,IF(AND(Q208="Preventivo",AM208="Moderado"),1,0))</f>
        <v>#DIV/0!</v>
      </c>
      <c r="AO208" s="558" t="e">
        <f t="shared" ref="AO208" si="359">+IF(AND(Q208="Detectivo",$AM208="Fuerte"),2,IF(AND(Q208="Detectivo",$AM208="Moderado"),1,IF(AND(Q208="Preventivo",$AM208="Fuerte"),1,0)))</f>
        <v>#DIV/0!</v>
      </c>
      <c r="AP208" s="566" t="e">
        <f t="shared" ref="AP208" si="360">+K208-AN208</f>
        <v>#N/A</v>
      </c>
      <c r="AQ208" s="566" t="e">
        <f t="shared" ref="AQ208" si="361">+M208-AO208</f>
        <v>#N/A</v>
      </c>
      <c r="AR208" s="565" t="e">
        <f>+VLOOKUP(MIN(AP208),Listados!$J$18:$K$24,2,TRUE)</f>
        <v>#N/A</v>
      </c>
      <c r="AS208" s="565" t="e">
        <f>+VLOOKUP(MIN(AQ208),Listados!$J$26:$K$32,2,TRUE)</f>
        <v>#N/A</v>
      </c>
      <c r="AT208" s="565" t="e">
        <f>IF(AND(AR208&lt;&gt;"",AS208&lt;&gt;""),VLOOKUP(AR208&amp;AS208,Listados!$M$3:$N$27,2,FALSE),"")</f>
        <v>#N/A</v>
      </c>
      <c r="AU208" s="565" t="e">
        <f>+VLOOKUP(AT208,Listados!$P$3:$Q$6,2,FALSE)</f>
        <v>#N/A</v>
      </c>
      <c r="AV208" s="336"/>
      <c r="AW208" s="336"/>
      <c r="AX208" s="339"/>
      <c r="AY208" s="361"/>
      <c r="AZ208" s="336"/>
      <c r="BA208" s="336"/>
      <c r="BB208" s="790"/>
      <c r="BC208" s="790"/>
      <c r="BD208" s="790"/>
      <c r="BE208" s="848"/>
      <c r="BF208" s="779"/>
      <c r="BG208" s="779"/>
    </row>
    <row r="209" spans="1:59">
      <c r="A209" s="693"/>
      <c r="B209" s="639"/>
      <c r="C209" s="661"/>
      <c r="D209" s="572"/>
      <c r="E209" s="572"/>
      <c r="F209" s="572"/>
      <c r="G209" s="329"/>
      <c r="H209" s="337"/>
      <c r="I209" s="337"/>
      <c r="J209" s="572"/>
      <c r="K209" s="565"/>
      <c r="L209" s="573"/>
      <c r="M209" s="565"/>
      <c r="N209" s="565"/>
      <c r="O209" s="354"/>
      <c r="P209" s="330"/>
      <c r="Q209" s="350"/>
      <c r="R209" s="332"/>
      <c r="S209" s="333" t="str">
        <f t="shared" si="326"/>
        <v>0</v>
      </c>
      <c r="T209" s="332"/>
      <c r="U209" s="333" t="str">
        <f t="shared" si="327"/>
        <v>0</v>
      </c>
      <c r="V209" s="332"/>
      <c r="W209" s="333" t="str">
        <f t="shared" si="328"/>
        <v>0</v>
      </c>
      <c r="X209" s="332"/>
      <c r="Y209" s="333" t="str">
        <f t="shared" si="329"/>
        <v>0</v>
      </c>
      <c r="Z209" s="332"/>
      <c r="AA209" s="333" t="str">
        <f t="shared" si="330"/>
        <v>0</v>
      </c>
      <c r="AB209" s="332"/>
      <c r="AC209" s="333" t="str">
        <f t="shared" si="331"/>
        <v>0</v>
      </c>
      <c r="AD209" s="332"/>
      <c r="AE209" s="333" t="str">
        <f t="shared" si="332"/>
        <v>0</v>
      </c>
      <c r="AF209" s="334" t="str">
        <f t="shared" si="337"/>
        <v/>
      </c>
      <c r="AG209" s="334" t="str">
        <f t="shared" si="334"/>
        <v/>
      </c>
      <c r="AH209" s="335"/>
      <c r="AI209" s="334" t="str">
        <f t="shared" si="335"/>
        <v/>
      </c>
      <c r="AJ209" s="334" t="str">
        <f>IFERROR(VLOOKUP((CONCATENATE(AG209,AI209)),Listados!$U$3:$V$11,2,FALSE),"")</f>
        <v/>
      </c>
      <c r="AK209" s="334" t="str">
        <f t="shared" si="336"/>
        <v/>
      </c>
      <c r="AL209" s="558"/>
      <c r="AM209" s="558"/>
      <c r="AN209" s="558"/>
      <c r="AO209" s="558"/>
      <c r="AP209" s="567"/>
      <c r="AQ209" s="567"/>
      <c r="AR209" s="565"/>
      <c r="AS209" s="565"/>
      <c r="AT209" s="565"/>
      <c r="AU209" s="565"/>
      <c r="AV209" s="336"/>
      <c r="AW209" s="336"/>
      <c r="AX209" s="336"/>
      <c r="AY209" s="336"/>
      <c r="AZ209" s="336"/>
      <c r="BA209" s="336"/>
      <c r="BB209" s="790"/>
      <c r="BC209" s="790"/>
      <c r="BD209" s="790"/>
      <c r="BE209" s="848"/>
      <c r="BF209" s="779"/>
      <c r="BG209" s="779"/>
    </row>
    <row r="210" spans="1:59">
      <c r="A210" s="693"/>
      <c r="B210" s="639"/>
      <c r="C210" s="661"/>
      <c r="D210" s="572"/>
      <c r="E210" s="572"/>
      <c r="F210" s="572"/>
      <c r="G210" s="329"/>
      <c r="H210" s="337"/>
      <c r="I210" s="337"/>
      <c r="J210" s="572"/>
      <c r="K210" s="565"/>
      <c r="L210" s="573"/>
      <c r="M210" s="565"/>
      <c r="N210" s="565"/>
      <c r="O210" s="347"/>
      <c r="P210" s="338"/>
      <c r="Q210" s="348"/>
      <c r="R210" s="332"/>
      <c r="S210" s="333" t="str">
        <f t="shared" si="326"/>
        <v>0</v>
      </c>
      <c r="T210" s="332"/>
      <c r="U210" s="333" t="str">
        <f t="shared" si="327"/>
        <v>0</v>
      </c>
      <c r="V210" s="332"/>
      <c r="W210" s="333" t="str">
        <f t="shared" si="328"/>
        <v>0</v>
      </c>
      <c r="X210" s="332"/>
      <c r="Y210" s="333" t="str">
        <f t="shared" si="329"/>
        <v>0</v>
      </c>
      <c r="Z210" s="332"/>
      <c r="AA210" s="333" t="str">
        <f t="shared" si="330"/>
        <v>0</v>
      </c>
      <c r="AB210" s="332"/>
      <c r="AC210" s="333" t="str">
        <f t="shared" si="331"/>
        <v>0</v>
      </c>
      <c r="AD210" s="332"/>
      <c r="AE210" s="333" t="str">
        <f t="shared" si="332"/>
        <v>0</v>
      </c>
      <c r="AF210" s="334" t="str">
        <f t="shared" si="337"/>
        <v/>
      </c>
      <c r="AG210" s="334" t="str">
        <f t="shared" si="334"/>
        <v/>
      </c>
      <c r="AH210" s="335"/>
      <c r="AI210" s="334" t="str">
        <f t="shared" si="335"/>
        <v/>
      </c>
      <c r="AJ210" s="334" t="str">
        <f>IFERROR(VLOOKUP((CONCATENATE(AG210,AI210)),Listados!$U$3:$V$11,2,FALSE),"")</f>
        <v/>
      </c>
      <c r="AK210" s="334" t="str">
        <f t="shared" si="336"/>
        <v/>
      </c>
      <c r="AL210" s="558"/>
      <c r="AM210" s="558"/>
      <c r="AN210" s="558"/>
      <c r="AO210" s="558"/>
      <c r="AP210" s="567"/>
      <c r="AQ210" s="567"/>
      <c r="AR210" s="565"/>
      <c r="AS210" s="565"/>
      <c r="AT210" s="565"/>
      <c r="AU210" s="565"/>
      <c r="AV210" s="336"/>
      <c r="AW210" s="336"/>
      <c r="AX210" s="339"/>
      <c r="AY210" s="339"/>
      <c r="AZ210" s="336"/>
      <c r="BA210" s="336"/>
      <c r="BB210" s="790"/>
      <c r="BC210" s="790"/>
      <c r="BD210" s="790"/>
      <c r="BE210" s="848"/>
      <c r="BF210" s="779"/>
      <c r="BG210" s="779"/>
    </row>
    <row r="211" spans="1:59" ht="15.75" thickBot="1">
      <c r="A211" s="693"/>
      <c r="B211" s="639"/>
      <c r="C211" s="661"/>
      <c r="D211" s="572"/>
      <c r="E211" s="572"/>
      <c r="F211" s="572"/>
      <c r="G211" s="329"/>
      <c r="H211" s="337"/>
      <c r="I211" s="337"/>
      <c r="J211" s="572"/>
      <c r="K211" s="565"/>
      <c r="L211" s="573"/>
      <c r="M211" s="565"/>
      <c r="N211" s="565"/>
      <c r="O211" s="347"/>
      <c r="P211" s="338"/>
      <c r="Q211" s="348"/>
      <c r="R211" s="332"/>
      <c r="S211" s="333" t="str">
        <f t="shared" si="326"/>
        <v>0</v>
      </c>
      <c r="T211" s="332"/>
      <c r="U211" s="333" t="str">
        <f t="shared" si="327"/>
        <v>0</v>
      </c>
      <c r="V211" s="332"/>
      <c r="W211" s="333" t="str">
        <f t="shared" si="328"/>
        <v>0</v>
      </c>
      <c r="X211" s="332"/>
      <c r="Y211" s="333" t="str">
        <f t="shared" si="329"/>
        <v>0</v>
      </c>
      <c r="Z211" s="332"/>
      <c r="AA211" s="333" t="str">
        <f t="shared" si="330"/>
        <v>0</v>
      </c>
      <c r="AB211" s="332"/>
      <c r="AC211" s="333" t="str">
        <f t="shared" si="331"/>
        <v>0</v>
      </c>
      <c r="AD211" s="332"/>
      <c r="AE211" s="333" t="str">
        <f t="shared" si="332"/>
        <v>0</v>
      </c>
      <c r="AF211" s="334" t="str">
        <f t="shared" si="337"/>
        <v/>
      </c>
      <c r="AG211" s="334" t="str">
        <f t="shared" si="334"/>
        <v/>
      </c>
      <c r="AH211" s="335"/>
      <c r="AI211" s="334" t="str">
        <f t="shared" si="335"/>
        <v/>
      </c>
      <c r="AJ211" s="334" t="str">
        <f>IFERROR(VLOOKUP((CONCATENATE(AG211,AI211)),Listados!$U$3:$V$11,2,FALSE),"")</f>
        <v/>
      </c>
      <c r="AK211" s="334" t="str">
        <f t="shared" si="336"/>
        <v/>
      </c>
      <c r="AL211" s="558"/>
      <c r="AM211" s="558"/>
      <c r="AN211" s="558"/>
      <c r="AO211" s="558"/>
      <c r="AP211" s="564"/>
      <c r="AQ211" s="564"/>
      <c r="AR211" s="565"/>
      <c r="AS211" s="565"/>
      <c r="AT211" s="565"/>
      <c r="AU211" s="565"/>
      <c r="AV211" s="336"/>
      <c r="AW211" s="336"/>
      <c r="AX211" s="339"/>
      <c r="AY211" s="339"/>
      <c r="AZ211" s="336"/>
      <c r="BA211" s="336"/>
      <c r="BB211" s="825"/>
      <c r="BC211" s="825"/>
      <c r="BD211" s="825"/>
      <c r="BE211" s="849"/>
      <c r="BF211" s="780"/>
      <c r="BG211" s="780"/>
    </row>
    <row r="212" spans="1:59">
      <c r="A212" s="693">
        <v>55</v>
      </c>
      <c r="B212" s="639"/>
      <c r="C212" s="661"/>
      <c r="D212" s="572"/>
      <c r="E212" s="574"/>
      <c r="F212" s="574"/>
      <c r="G212" s="329"/>
      <c r="H212" s="337"/>
      <c r="I212" s="337"/>
      <c r="J212" s="572"/>
      <c r="K212" s="565" t="e">
        <f>+VLOOKUP(J212,Listados!$K$8:$L$12,2,0)</f>
        <v>#N/A</v>
      </c>
      <c r="L212" s="573"/>
      <c r="M212" s="565" t="e">
        <f>+VLOOKUP(L212,Listados!$K$13:$L$17,2,0)</f>
        <v>#N/A</v>
      </c>
      <c r="N212" s="565" t="str">
        <f>IF(AND(J212&lt;&gt;"",L212&lt;&gt;""),VLOOKUP(J212&amp;L212,Listados!$M$3:$N$27,2,FALSE),"")</f>
        <v/>
      </c>
      <c r="O212" s="354"/>
      <c r="P212" s="330"/>
      <c r="Q212" s="350"/>
      <c r="R212" s="332"/>
      <c r="S212" s="333" t="str">
        <f t="shared" si="326"/>
        <v>0</v>
      </c>
      <c r="T212" s="332"/>
      <c r="U212" s="333" t="str">
        <f t="shared" si="327"/>
        <v>0</v>
      </c>
      <c r="V212" s="332"/>
      <c r="W212" s="333" t="str">
        <f t="shared" si="328"/>
        <v>0</v>
      </c>
      <c r="X212" s="332"/>
      <c r="Y212" s="333" t="str">
        <f t="shared" si="329"/>
        <v>0</v>
      </c>
      <c r="Z212" s="332"/>
      <c r="AA212" s="333" t="str">
        <f t="shared" si="330"/>
        <v>0</v>
      </c>
      <c r="AB212" s="332"/>
      <c r="AC212" s="333" t="str">
        <f t="shared" si="331"/>
        <v>0</v>
      </c>
      <c r="AD212" s="332"/>
      <c r="AE212" s="333" t="str">
        <f t="shared" si="332"/>
        <v>0</v>
      </c>
      <c r="AF212" s="334" t="str">
        <f t="shared" si="337"/>
        <v/>
      </c>
      <c r="AG212" s="334" t="str">
        <f t="shared" si="334"/>
        <v/>
      </c>
      <c r="AH212" s="335"/>
      <c r="AI212" s="334" t="str">
        <f t="shared" si="335"/>
        <v/>
      </c>
      <c r="AJ212" s="334" t="str">
        <f>IFERROR(VLOOKUP((CONCATENATE(AG212,AI212)),Listados!$U$3:$V$11,2,FALSE),"")</f>
        <v/>
      </c>
      <c r="AK212" s="334" t="str">
        <f t="shared" si="336"/>
        <v/>
      </c>
      <c r="AL212" s="558" t="e">
        <f t="shared" ref="AL212" si="362">AVERAGE(AK212:AK215)</f>
        <v>#DIV/0!</v>
      </c>
      <c r="AM212" s="558" t="e">
        <f t="shared" ref="AM212" si="363">IF(AL212&lt;=50,"Débil",IF(AL212&lt;=99,"Moderado",IF(AL212=100,"fuerte","")))</f>
        <v>#DIV/0!</v>
      </c>
      <c r="AN212" s="558" t="e">
        <f t="shared" ref="AN212" si="364">+IF(AND(Q212="Preventivo",AM212="Fuerte"),2,IF(AND(Q212="Preventivo",AM212="Moderado"),1,0))</f>
        <v>#DIV/0!</v>
      </c>
      <c r="AO212" s="558" t="e">
        <f t="shared" ref="AO212" si="365">+IF(AND(Q212="Detectivo",$AM212="Fuerte"),2,IF(AND(Q212="Detectivo",$AM212="Moderado"),1,IF(AND(Q212="Preventivo",$AM212="Fuerte"),1,0)))</f>
        <v>#DIV/0!</v>
      </c>
      <c r="AP212" s="566" t="e">
        <f t="shared" ref="AP212" si="366">+K212-AN212</f>
        <v>#N/A</v>
      </c>
      <c r="AQ212" s="566" t="e">
        <f t="shared" ref="AQ212" si="367">+M212-AO212</f>
        <v>#N/A</v>
      </c>
      <c r="AR212" s="565" t="e">
        <f>+VLOOKUP(MIN(AP212),Listados!$J$18:$K$24,2,TRUE)</f>
        <v>#N/A</v>
      </c>
      <c r="AS212" s="565" t="e">
        <f>+VLOOKUP(MIN(AQ212),Listados!$J$26:$K$32,2,TRUE)</f>
        <v>#N/A</v>
      </c>
      <c r="AT212" s="565" t="e">
        <f>IF(AND(AR212&lt;&gt;"",AS212&lt;&gt;""),VLOOKUP(AR212&amp;AS212,Listados!$M$3:$N$27,2,FALSE),"")</f>
        <v>#N/A</v>
      </c>
      <c r="AU212" s="565" t="e">
        <f>+VLOOKUP(AT212,Listados!$P$3:$Q$6,2,FALSE)</f>
        <v>#N/A</v>
      </c>
      <c r="AV212" s="336"/>
      <c r="AW212" s="336"/>
      <c r="AX212" s="339"/>
      <c r="AY212" s="361"/>
      <c r="AZ212" s="336"/>
      <c r="BA212" s="336"/>
      <c r="BB212" s="790"/>
      <c r="BC212" s="790"/>
      <c r="BD212" s="790"/>
      <c r="BE212" s="848"/>
      <c r="BF212" s="779"/>
      <c r="BG212" s="779"/>
    </row>
    <row r="213" spans="1:59">
      <c r="A213" s="693"/>
      <c r="B213" s="639"/>
      <c r="C213" s="661"/>
      <c r="D213" s="572"/>
      <c r="E213" s="572"/>
      <c r="F213" s="572"/>
      <c r="G213" s="329"/>
      <c r="H213" s="337"/>
      <c r="I213" s="337"/>
      <c r="J213" s="572"/>
      <c r="K213" s="565"/>
      <c r="L213" s="573"/>
      <c r="M213" s="565"/>
      <c r="N213" s="565"/>
      <c r="O213" s="354"/>
      <c r="P213" s="330"/>
      <c r="Q213" s="350"/>
      <c r="R213" s="332"/>
      <c r="S213" s="333" t="str">
        <f t="shared" si="326"/>
        <v>0</v>
      </c>
      <c r="T213" s="332"/>
      <c r="U213" s="333" t="str">
        <f t="shared" si="327"/>
        <v>0</v>
      </c>
      <c r="V213" s="332"/>
      <c r="W213" s="333" t="str">
        <f t="shared" si="328"/>
        <v>0</v>
      </c>
      <c r="X213" s="332"/>
      <c r="Y213" s="333" t="str">
        <f t="shared" si="329"/>
        <v>0</v>
      </c>
      <c r="Z213" s="332"/>
      <c r="AA213" s="333" t="str">
        <f t="shared" si="330"/>
        <v>0</v>
      </c>
      <c r="AB213" s="332"/>
      <c r="AC213" s="333" t="str">
        <f t="shared" si="331"/>
        <v>0</v>
      </c>
      <c r="AD213" s="332"/>
      <c r="AE213" s="333" t="str">
        <f t="shared" si="332"/>
        <v>0</v>
      </c>
      <c r="AF213" s="334" t="str">
        <f t="shared" si="337"/>
        <v/>
      </c>
      <c r="AG213" s="334" t="str">
        <f t="shared" si="334"/>
        <v/>
      </c>
      <c r="AH213" s="335"/>
      <c r="AI213" s="334" t="str">
        <f t="shared" si="335"/>
        <v/>
      </c>
      <c r="AJ213" s="334" t="str">
        <f>IFERROR(VLOOKUP((CONCATENATE(AG213,AI213)),Listados!$U$3:$V$11,2,FALSE),"")</f>
        <v/>
      </c>
      <c r="AK213" s="334" t="str">
        <f t="shared" si="336"/>
        <v/>
      </c>
      <c r="AL213" s="558"/>
      <c r="AM213" s="558"/>
      <c r="AN213" s="558"/>
      <c r="AO213" s="558"/>
      <c r="AP213" s="567"/>
      <c r="AQ213" s="567"/>
      <c r="AR213" s="565"/>
      <c r="AS213" s="565"/>
      <c r="AT213" s="565"/>
      <c r="AU213" s="565"/>
      <c r="AV213" s="336"/>
      <c r="AW213" s="336"/>
      <c r="AX213" s="336"/>
      <c r="AY213" s="336"/>
      <c r="AZ213" s="336"/>
      <c r="BA213" s="336"/>
      <c r="BB213" s="790"/>
      <c r="BC213" s="790"/>
      <c r="BD213" s="790"/>
      <c r="BE213" s="848"/>
      <c r="BF213" s="779"/>
      <c r="BG213" s="779"/>
    </row>
    <row r="214" spans="1:59">
      <c r="A214" s="693"/>
      <c r="B214" s="639"/>
      <c r="C214" s="661"/>
      <c r="D214" s="572"/>
      <c r="E214" s="572"/>
      <c r="F214" s="572"/>
      <c r="G214" s="329"/>
      <c r="H214" s="337"/>
      <c r="I214" s="337"/>
      <c r="J214" s="572"/>
      <c r="K214" s="565"/>
      <c r="L214" s="573"/>
      <c r="M214" s="565"/>
      <c r="N214" s="565"/>
      <c r="O214" s="347"/>
      <c r="P214" s="338"/>
      <c r="Q214" s="348"/>
      <c r="R214" s="332"/>
      <c r="S214" s="333" t="str">
        <f t="shared" si="326"/>
        <v>0</v>
      </c>
      <c r="T214" s="332"/>
      <c r="U214" s="333" t="str">
        <f t="shared" si="327"/>
        <v>0</v>
      </c>
      <c r="V214" s="332"/>
      <c r="W214" s="333" t="str">
        <f t="shared" si="328"/>
        <v>0</v>
      </c>
      <c r="X214" s="332"/>
      <c r="Y214" s="333" t="str">
        <f t="shared" si="329"/>
        <v>0</v>
      </c>
      <c r="Z214" s="332"/>
      <c r="AA214" s="333" t="str">
        <f t="shared" si="330"/>
        <v>0</v>
      </c>
      <c r="AB214" s="332"/>
      <c r="AC214" s="333" t="str">
        <f t="shared" si="331"/>
        <v>0</v>
      </c>
      <c r="AD214" s="332"/>
      <c r="AE214" s="333" t="str">
        <f t="shared" si="332"/>
        <v>0</v>
      </c>
      <c r="AF214" s="334" t="str">
        <f t="shared" si="337"/>
        <v/>
      </c>
      <c r="AG214" s="334" t="str">
        <f t="shared" si="334"/>
        <v/>
      </c>
      <c r="AH214" s="335"/>
      <c r="AI214" s="334" t="str">
        <f t="shared" si="335"/>
        <v/>
      </c>
      <c r="AJ214" s="334" t="str">
        <f>IFERROR(VLOOKUP((CONCATENATE(AG214,AI214)),Listados!$U$3:$V$11,2,FALSE),"")</f>
        <v/>
      </c>
      <c r="AK214" s="334" t="str">
        <f t="shared" si="336"/>
        <v/>
      </c>
      <c r="AL214" s="558"/>
      <c r="AM214" s="558"/>
      <c r="AN214" s="558"/>
      <c r="AO214" s="558"/>
      <c r="AP214" s="567"/>
      <c r="AQ214" s="567"/>
      <c r="AR214" s="565"/>
      <c r="AS214" s="565"/>
      <c r="AT214" s="565"/>
      <c r="AU214" s="565"/>
      <c r="AV214" s="336"/>
      <c r="AW214" s="336"/>
      <c r="AX214" s="339"/>
      <c r="AY214" s="339"/>
      <c r="AZ214" s="336"/>
      <c r="BA214" s="336"/>
      <c r="BB214" s="790"/>
      <c r="BC214" s="790"/>
      <c r="BD214" s="790"/>
      <c r="BE214" s="848"/>
      <c r="BF214" s="779"/>
      <c r="BG214" s="779"/>
    </row>
    <row r="215" spans="1:59" ht="15.75" thickBot="1">
      <c r="A215" s="693"/>
      <c r="B215" s="639"/>
      <c r="C215" s="661"/>
      <c r="D215" s="572"/>
      <c r="E215" s="572"/>
      <c r="F215" s="572"/>
      <c r="G215" s="329"/>
      <c r="H215" s="337"/>
      <c r="I215" s="337"/>
      <c r="J215" s="572"/>
      <c r="K215" s="565"/>
      <c r="L215" s="573"/>
      <c r="M215" s="565"/>
      <c r="N215" s="565"/>
      <c r="O215" s="347"/>
      <c r="P215" s="338"/>
      <c r="Q215" s="348"/>
      <c r="R215" s="332"/>
      <c r="S215" s="333" t="str">
        <f t="shared" si="326"/>
        <v>0</v>
      </c>
      <c r="T215" s="332"/>
      <c r="U215" s="333" t="str">
        <f t="shared" si="327"/>
        <v>0</v>
      </c>
      <c r="V215" s="332"/>
      <c r="W215" s="333" t="str">
        <f t="shared" si="328"/>
        <v>0</v>
      </c>
      <c r="X215" s="332"/>
      <c r="Y215" s="333" t="str">
        <f t="shared" si="329"/>
        <v>0</v>
      </c>
      <c r="Z215" s="332"/>
      <c r="AA215" s="333" t="str">
        <f t="shared" si="330"/>
        <v>0</v>
      </c>
      <c r="AB215" s="332"/>
      <c r="AC215" s="333" t="str">
        <f t="shared" si="331"/>
        <v>0</v>
      </c>
      <c r="AD215" s="332"/>
      <c r="AE215" s="333" t="str">
        <f t="shared" si="332"/>
        <v>0</v>
      </c>
      <c r="AF215" s="334" t="str">
        <f t="shared" si="337"/>
        <v/>
      </c>
      <c r="AG215" s="334" t="str">
        <f t="shared" si="334"/>
        <v/>
      </c>
      <c r="AH215" s="335"/>
      <c r="AI215" s="334" t="str">
        <f t="shared" si="335"/>
        <v/>
      </c>
      <c r="AJ215" s="334" t="str">
        <f>IFERROR(VLOOKUP((CONCATENATE(AG215,AI215)),Listados!$U$3:$V$11,2,FALSE),"")</f>
        <v/>
      </c>
      <c r="AK215" s="334" t="str">
        <f t="shared" si="336"/>
        <v/>
      </c>
      <c r="AL215" s="558"/>
      <c r="AM215" s="558"/>
      <c r="AN215" s="558"/>
      <c r="AO215" s="558"/>
      <c r="AP215" s="564"/>
      <c r="AQ215" s="564"/>
      <c r="AR215" s="565"/>
      <c r="AS215" s="565"/>
      <c r="AT215" s="565"/>
      <c r="AU215" s="565"/>
      <c r="AV215" s="336"/>
      <c r="AW215" s="336"/>
      <c r="AX215" s="339"/>
      <c r="AY215" s="339"/>
      <c r="AZ215" s="336"/>
      <c r="BA215" s="336"/>
      <c r="BB215" s="825"/>
      <c r="BC215" s="825"/>
      <c r="BD215" s="825"/>
      <c r="BE215" s="849"/>
      <c r="BF215" s="780"/>
      <c r="BG215" s="780"/>
    </row>
    <row r="216" spans="1:59">
      <c r="A216" s="693">
        <v>56</v>
      </c>
      <c r="B216" s="639"/>
      <c r="C216" s="661"/>
      <c r="D216" s="572"/>
      <c r="E216" s="574"/>
      <c r="F216" s="574"/>
      <c r="G216" s="329"/>
      <c r="H216" s="337"/>
      <c r="I216" s="337"/>
      <c r="J216" s="572"/>
      <c r="K216" s="565" t="e">
        <f>+VLOOKUP(J216,Listados!$K$8:$L$12,2,0)</f>
        <v>#N/A</v>
      </c>
      <c r="L216" s="573"/>
      <c r="M216" s="565" t="e">
        <f>+VLOOKUP(L216,Listados!$K$13:$L$17,2,0)</f>
        <v>#N/A</v>
      </c>
      <c r="N216" s="565" t="str">
        <f>IF(AND(J216&lt;&gt;"",L216&lt;&gt;""),VLOOKUP(J216&amp;L216,Listados!$M$3:$N$27,2,FALSE),"")</f>
        <v/>
      </c>
      <c r="O216" s="354"/>
      <c r="P216" s="330"/>
      <c r="Q216" s="350"/>
      <c r="R216" s="332"/>
      <c r="S216" s="333" t="str">
        <f t="shared" si="326"/>
        <v>0</v>
      </c>
      <c r="T216" s="332"/>
      <c r="U216" s="333" t="str">
        <f t="shared" si="327"/>
        <v>0</v>
      </c>
      <c r="V216" s="332"/>
      <c r="W216" s="333" t="str">
        <f t="shared" si="328"/>
        <v>0</v>
      </c>
      <c r="X216" s="332"/>
      <c r="Y216" s="333" t="str">
        <f t="shared" si="329"/>
        <v>0</v>
      </c>
      <c r="Z216" s="332"/>
      <c r="AA216" s="333" t="str">
        <f t="shared" si="330"/>
        <v>0</v>
      </c>
      <c r="AB216" s="332"/>
      <c r="AC216" s="333" t="str">
        <f t="shared" si="331"/>
        <v>0</v>
      </c>
      <c r="AD216" s="332"/>
      <c r="AE216" s="333" t="str">
        <f t="shared" si="332"/>
        <v>0</v>
      </c>
      <c r="AF216" s="334" t="str">
        <f t="shared" si="337"/>
        <v/>
      </c>
      <c r="AG216" s="334" t="str">
        <f t="shared" si="334"/>
        <v/>
      </c>
      <c r="AH216" s="335"/>
      <c r="AI216" s="334" t="str">
        <f t="shared" si="335"/>
        <v/>
      </c>
      <c r="AJ216" s="334" t="str">
        <f>IFERROR(VLOOKUP((CONCATENATE(AG216,AI216)),Listados!$U$3:$V$11,2,FALSE),"")</f>
        <v/>
      </c>
      <c r="AK216" s="334" t="str">
        <f t="shared" si="336"/>
        <v/>
      </c>
      <c r="AL216" s="558" t="e">
        <f t="shared" ref="AL216" si="368">AVERAGE(AK216:AK219)</f>
        <v>#DIV/0!</v>
      </c>
      <c r="AM216" s="558" t="e">
        <f t="shared" ref="AM216" si="369">IF(AL216&lt;=50,"Débil",IF(AL216&lt;=99,"Moderado",IF(AL216=100,"fuerte","")))</f>
        <v>#DIV/0!</v>
      </c>
      <c r="AN216" s="558" t="e">
        <f t="shared" ref="AN216" si="370">+IF(AND(Q216="Preventivo",AM216="Fuerte"),2,IF(AND(Q216="Preventivo",AM216="Moderado"),1,0))</f>
        <v>#DIV/0!</v>
      </c>
      <c r="AO216" s="558" t="e">
        <f t="shared" ref="AO216" si="371">+IF(AND(Q216="Detectivo",$AM216="Fuerte"),2,IF(AND(Q216="Detectivo",$AM216="Moderado"),1,IF(AND(Q216="Preventivo",$AM216="Fuerte"),1,0)))</f>
        <v>#DIV/0!</v>
      </c>
      <c r="AP216" s="566" t="e">
        <f t="shared" ref="AP216" si="372">+K216-AN216</f>
        <v>#N/A</v>
      </c>
      <c r="AQ216" s="566" t="e">
        <f t="shared" ref="AQ216" si="373">+M216-AO216</f>
        <v>#N/A</v>
      </c>
      <c r="AR216" s="565" t="e">
        <f>+VLOOKUP(MIN(AP216),Listados!$J$18:$K$24,2,TRUE)</f>
        <v>#N/A</v>
      </c>
      <c r="AS216" s="565" t="e">
        <f>+VLOOKUP(MIN(AQ216),Listados!$J$26:$K$32,2,TRUE)</f>
        <v>#N/A</v>
      </c>
      <c r="AT216" s="565" t="e">
        <f>IF(AND(AR216&lt;&gt;"",AS216&lt;&gt;""),VLOOKUP(AR216&amp;AS216,Listados!$M$3:$N$27,2,FALSE),"")</f>
        <v>#N/A</v>
      </c>
      <c r="AU216" s="565" t="e">
        <f>+VLOOKUP(AT216,Listados!$P$3:$Q$6,2,FALSE)</f>
        <v>#N/A</v>
      </c>
      <c r="AV216" s="336"/>
      <c r="AW216" s="336"/>
      <c r="AX216" s="339"/>
      <c r="AY216" s="361"/>
      <c r="AZ216" s="336"/>
      <c r="BA216" s="336"/>
      <c r="BB216" s="790"/>
      <c r="BC216" s="790"/>
      <c r="BD216" s="790"/>
      <c r="BE216" s="848"/>
      <c r="BF216" s="779"/>
      <c r="BG216" s="779"/>
    </row>
    <row r="217" spans="1:59">
      <c r="A217" s="693"/>
      <c r="B217" s="639"/>
      <c r="C217" s="661"/>
      <c r="D217" s="572"/>
      <c r="E217" s="572"/>
      <c r="F217" s="572"/>
      <c r="G217" s="329"/>
      <c r="H217" s="337"/>
      <c r="I217" s="337"/>
      <c r="J217" s="572"/>
      <c r="K217" s="565"/>
      <c r="L217" s="573"/>
      <c r="M217" s="565"/>
      <c r="N217" s="565"/>
      <c r="O217" s="354"/>
      <c r="P217" s="330"/>
      <c r="Q217" s="350"/>
      <c r="R217" s="332"/>
      <c r="S217" s="333" t="str">
        <f t="shared" si="326"/>
        <v>0</v>
      </c>
      <c r="T217" s="332"/>
      <c r="U217" s="333" t="str">
        <f t="shared" si="327"/>
        <v>0</v>
      </c>
      <c r="V217" s="332"/>
      <c r="W217" s="333" t="str">
        <f t="shared" si="328"/>
        <v>0</v>
      </c>
      <c r="X217" s="332"/>
      <c r="Y217" s="333" t="str">
        <f t="shared" si="329"/>
        <v>0</v>
      </c>
      <c r="Z217" s="332"/>
      <c r="AA217" s="333" t="str">
        <f t="shared" si="330"/>
        <v>0</v>
      </c>
      <c r="AB217" s="332"/>
      <c r="AC217" s="333" t="str">
        <f t="shared" si="331"/>
        <v>0</v>
      </c>
      <c r="AD217" s="332"/>
      <c r="AE217" s="333" t="str">
        <f t="shared" si="332"/>
        <v>0</v>
      </c>
      <c r="AF217" s="334" t="str">
        <f t="shared" si="337"/>
        <v/>
      </c>
      <c r="AG217" s="334" t="str">
        <f t="shared" si="334"/>
        <v/>
      </c>
      <c r="AH217" s="335"/>
      <c r="AI217" s="334" t="str">
        <f t="shared" si="335"/>
        <v/>
      </c>
      <c r="AJ217" s="334" t="str">
        <f>IFERROR(VLOOKUP((CONCATENATE(AG217,AI217)),Listados!$U$3:$V$11,2,FALSE),"")</f>
        <v/>
      </c>
      <c r="AK217" s="334" t="str">
        <f t="shared" si="336"/>
        <v/>
      </c>
      <c r="AL217" s="558"/>
      <c r="AM217" s="558"/>
      <c r="AN217" s="558"/>
      <c r="AO217" s="558"/>
      <c r="AP217" s="567"/>
      <c r="AQ217" s="567"/>
      <c r="AR217" s="565"/>
      <c r="AS217" s="565"/>
      <c r="AT217" s="565"/>
      <c r="AU217" s="565"/>
      <c r="AV217" s="336"/>
      <c r="AW217" s="336"/>
      <c r="AX217" s="336"/>
      <c r="AY217" s="336"/>
      <c r="AZ217" s="336"/>
      <c r="BA217" s="336"/>
      <c r="BB217" s="790"/>
      <c r="BC217" s="790"/>
      <c r="BD217" s="790"/>
      <c r="BE217" s="848"/>
      <c r="BF217" s="779"/>
      <c r="BG217" s="779"/>
    </row>
    <row r="218" spans="1:59">
      <c r="A218" s="693"/>
      <c r="B218" s="639"/>
      <c r="C218" s="661"/>
      <c r="D218" s="572"/>
      <c r="E218" s="572"/>
      <c r="F218" s="572"/>
      <c r="G218" s="329"/>
      <c r="H218" s="337"/>
      <c r="I218" s="337"/>
      <c r="J218" s="572"/>
      <c r="K218" s="565"/>
      <c r="L218" s="573"/>
      <c r="M218" s="565"/>
      <c r="N218" s="565"/>
      <c r="O218" s="347"/>
      <c r="P218" s="338"/>
      <c r="Q218" s="348"/>
      <c r="R218" s="332"/>
      <c r="S218" s="333" t="str">
        <f t="shared" si="326"/>
        <v>0</v>
      </c>
      <c r="T218" s="332"/>
      <c r="U218" s="333" t="str">
        <f t="shared" si="327"/>
        <v>0</v>
      </c>
      <c r="V218" s="332"/>
      <c r="W218" s="333" t="str">
        <f t="shared" si="328"/>
        <v>0</v>
      </c>
      <c r="X218" s="332"/>
      <c r="Y218" s="333" t="str">
        <f t="shared" si="329"/>
        <v>0</v>
      </c>
      <c r="Z218" s="332"/>
      <c r="AA218" s="333" t="str">
        <f t="shared" si="330"/>
        <v>0</v>
      </c>
      <c r="AB218" s="332"/>
      <c r="AC218" s="333" t="str">
        <f t="shared" si="331"/>
        <v>0</v>
      </c>
      <c r="AD218" s="332"/>
      <c r="AE218" s="333" t="str">
        <f t="shared" si="332"/>
        <v>0</v>
      </c>
      <c r="AF218" s="334" t="str">
        <f t="shared" si="337"/>
        <v/>
      </c>
      <c r="AG218" s="334" t="str">
        <f t="shared" si="334"/>
        <v/>
      </c>
      <c r="AH218" s="335"/>
      <c r="AI218" s="334" t="str">
        <f t="shared" si="335"/>
        <v/>
      </c>
      <c r="AJ218" s="334" t="str">
        <f>IFERROR(VLOOKUP((CONCATENATE(AG218,AI218)),Listados!$U$3:$V$11,2,FALSE),"")</f>
        <v/>
      </c>
      <c r="AK218" s="334" t="str">
        <f t="shared" si="336"/>
        <v/>
      </c>
      <c r="AL218" s="558"/>
      <c r="AM218" s="558"/>
      <c r="AN218" s="558"/>
      <c r="AO218" s="558"/>
      <c r="AP218" s="567"/>
      <c r="AQ218" s="567"/>
      <c r="AR218" s="565"/>
      <c r="AS218" s="565"/>
      <c r="AT218" s="565"/>
      <c r="AU218" s="565"/>
      <c r="AV218" s="336"/>
      <c r="AW218" s="336"/>
      <c r="AX218" s="339"/>
      <c r="AY218" s="339"/>
      <c r="AZ218" s="336"/>
      <c r="BA218" s="336"/>
      <c r="BB218" s="790"/>
      <c r="BC218" s="790"/>
      <c r="BD218" s="790"/>
      <c r="BE218" s="848"/>
      <c r="BF218" s="779"/>
      <c r="BG218" s="779"/>
    </row>
    <row r="219" spans="1:59" ht="15.75" thickBot="1">
      <c r="A219" s="693"/>
      <c r="B219" s="639"/>
      <c r="C219" s="661"/>
      <c r="D219" s="572"/>
      <c r="E219" s="572"/>
      <c r="F219" s="572"/>
      <c r="G219" s="329"/>
      <c r="H219" s="337"/>
      <c r="I219" s="337"/>
      <c r="J219" s="572"/>
      <c r="K219" s="565"/>
      <c r="L219" s="573"/>
      <c r="M219" s="565"/>
      <c r="N219" s="565"/>
      <c r="O219" s="347"/>
      <c r="P219" s="338"/>
      <c r="Q219" s="348"/>
      <c r="R219" s="332"/>
      <c r="S219" s="333" t="str">
        <f t="shared" si="326"/>
        <v>0</v>
      </c>
      <c r="T219" s="332"/>
      <c r="U219" s="333" t="str">
        <f t="shared" si="327"/>
        <v>0</v>
      </c>
      <c r="V219" s="332"/>
      <c r="W219" s="333" t="str">
        <f t="shared" si="328"/>
        <v>0</v>
      </c>
      <c r="X219" s="332"/>
      <c r="Y219" s="333" t="str">
        <f t="shared" si="329"/>
        <v>0</v>
      </c>
      <c r="Z219" s="332"/>
      <c r="AA219" s="333" t="str">
        <f t="shared" si="330"/>
        <v>0</v>
      </c>
      <c r="AB219" s="332"/>
      <c r="AC219" s="333" t="str">
        <f t="shared" si="331"/>
        <v>0</v>
      </c>
      <c r="AD219" s="332"/>
      <c r="AE219" s="333" t="str">
        <f t="shared" si="332"/>
        <v>0</v>
      </c>
      <c r="AF219" s="334" t="str">
        <f t="shared" si="337"/>
        <v/>
      </c>
      <c r="AG219" s="334" t="str">
        <f t="shared" si="334"/>
        <v/>
      </c>
      <c r="AH219" s="335"/>
      <c r="AI219" s="334" t="str">
        <f t="shared" si="335"/>
        <v/>
      </c>
      <c r="AJ219" s="334" t="str">
        <f>IFERROR(VLOOKUP((CONCATENATE(AG219,AI219)),Listados!$U$3:$V$11,2,FALSE),"")</f>
        <v/>
      </c>
      <c r="AK219" s="334" t="str">
        <f t="shared" si="336"/>
        <v/>
      </c>
      <c r="AL219" s="558"/>
      <c r="AM219" s="558"/>
      <c r="AN219" s="558"/>
      <c r="AO219" s="558"/>
      <c r="AP219" s="564"/>
      <c r="AQ219" s="564"/>
      <c r="AR219" s="565"/>
      <c r="AS219" s="565"/>
      <c r="AT219" s="565"/>
      <c r="AU219" s="565"/>
      <c r="AV219" s="336"/>
      <c r="AW219" s="336"/>
      <c r="AX219" s="339"/>
      <c r="AY219" s="339"/>
      <c r="AZ219" s="336"/>
      <c r="BA219" s="336"/>
      <c r="BB219" s="825"/>
      <c r="BC219" s="825"/>
      <c r="BD219" s="825"/>
      <c r="BE219" s="849"/>
      <c r="BF219" s="780"/>
      <c r="BG219" s="780"/>
    </row>
    <row r="220" spans="1:59">
      <c r="A220" s="693">
        <v>57</v>
      </c>
      <c r="B220" s="639"/>
      <c r="C220" s="661"/>
      <c r="D220" s="572"/>
      <c r="E220" s="574"/>
      <c r="F220" s="574"/>
      <c r="G220" s="329"/>
      <c r="H220" s="337"/>
      <c r="I220" s="337"/>
      <c r="J220" s="572"/>
      <c r="K220" s="565" t="e">
        <f>+VLOOKUP(J220,Listados!$K$8:$L$12,2,0)</f>
        <v>#N/A</v>
      </c>
      <c r="L220" s="573"/>
      <c r="M220" s="565" t="e">
        <f>+VLOOKUP(L220,Listados!$K$13:$L$17,2,0)</f>
        <v>#N/A</v>
      </c>
      <c r="N220" s="565" t="str">
        <f>IF(AND(J220&lt;&gt;"",L220&lt;&gt;""),VLOOKUP(J220&amp;L220,Listados!$M$3:$N$27,2,FALSE),"")</f>
        <v/>
      </c>
      <c r="O220" s="354"/>
      <c r="P220" s="330"/>
      <c r="Q220" s="350"/>
      <c r="R220" s="332"/>
      <c r="S220" s="333" t="str">
        <f t="shared" si="326"/>
        <v>0</v>
      </c>
      <c r="T220" s="332"/>
      <c r="U220" s="333" t="str">
        <f t="shared" si="327"/>
        <v>0</v>
      </c>
      <c r="V220" s="332"/>
      <c r="W220" s="333" t="str">
        <f t="shared" si="328"/>
        <v>0</v>
      </c>
      <c r="X220" s="332"/>
      <c r="Y220" s="333" t="str">
        <f t="shared" si="329"/>
        <v>0</v>
      </c>
      <c r="Z220" s="332"/>
      <c r="AA220" s="333" t="str">
        <f t="shared" si="330"/>
        <v>0</v>
      </c>
      <c r="AB220" s="332"/>
      <c r="AC220" s="333" t="str">
        <f t="shared" si="331"/>
        <v>0</v>
      </c>
      <c r="AD220" s="332"/>
      <c r="AE220" s="333" t="str">
        <f t="shared" si="332"/>
        <v>0</v>
      </c>
      <c r="AF220" s="334" t="str">
        <f t="shared" si="337"/>
        <v/>
      </c>
      <c r="AG220" s="334" t="str">
        <f t="shared" si="334"/>
        <v/>
      </c>
      <c r="AH220" s="335"/>
      <c r="AI220" s="334" t="str">
        <f t="shared" si="335"/>
        <v/>
      </c>
      <c r="AJ220" s="334" t="str">
        <f>IFERROR(VLOOKUP((CONCATENATE(AG220,AI220)),Listados!$U$3:$V$11,2,FALSE),"")</f>
        <v/>
      </c>
      <c r="AK220" s="334" t="str">
        <f t="shared" si="336"/>
        <v/>
      </c>
      <c r="AL220" s="558" t="e">
        <f t="shared" ref="AL220" si="374">AVERAGE(AK220:AK223)</f>
        <v>#DIV/0!</v>
      </c>
      <c r="AM220" s="558" t="e">
        <f t="shared" ref="AM220" si="375">IF(AL220&lt;=50,"Débil",IF(AL220&lt;=99,"Moderado",IF(AL220=100,"fuerte","")))</f>
        <v>#DIV/0!</v>
      </c>
      <c r="AN220" s="558" t="e">
        <f t="shared" ref="AN220" si="376">+IF(AND(Q220="Preventivo",AM220="Fuerte"),2,IF(AND(Q220="Preventivo",AM220="Moderado"),1,0))</f>
        <v>#DIV/0!</v>
      </c>
      <c r="AO220" s="558" t="e">
        <f t="shared" ref="AO220" si="377">+IF(AND(Q220="Detectivo",$AM220="Fuerte"),2,IF(AND(Q220="Detectivo",$AM220="Moderado"),1,IF(AND(Q220="Preventivo",$AM220="Fuerte"),1,0)))</f>
        <v>#DIV/0!</v>
      </c>
      <c r="AP220" s="566" t="e">
        <f t="shared" ref="AP220" si="378">+K220-AN220</f>
        <v>#N/A</v>
      </c>
      <c r="AQ220" s="566" t="e">
        <f t="shared" ref="AQ220" si="379">+M220-AO220</f>
        <v>#N/A</v>
      </c>
      <c r="AR220" s="565" t="e">
        <f>+VLOOKUP(MIN(AP220),Listados!$J$18:$K$24,2,TRUE)</f>
        <v>#N/A</v>
      </c>
      <c r="AS220" s="565" t="e">
        <f>+VLOOKUP(MIN(AQ220),Listados!$J$26:$K$32,2,TRUE)</f>
        <v>#N/A</v>
      </c>
      <c r="AT220" s="565" t="e">
        <f>IF(AND(AR220&lt;&gt;"",AS220&lt;&gt;""),VLOOKUP(AR220&amp;AS220,Listados!$M$3:$N$27,2,FALSE),"")</f>
        <v>#N/A</v>
      </c>
      <c r="AU220" s="565" t="e">
        <f>+VLOOKUP(AT220,Listados!$P$3:$Q$6,2,FALSE)</f>
        <v>#N/A</v>
      </c>
      <c r="AV220" s="336"/>
      <c r="AW220" s="336"/>
      <c r="AX220" s="339"/>
      <c r="AY220" s="361"/>
      <c r="AZ220" s="336"/>
      <c r="BA220" s="336"/>
      <c r="BB220" s="790"/>
      <c r="BC220" s="790"/>
      <c r="BD220" s="790"/>
      <c r="BE220" s="848"/>
      <c r="BF220" s="779"/>
      <c r="BG220" s="779"/>
    </row>
    <row r="221" spans="1:59">
      <c r="A221" s="693"/>
      <c r="B221" s="639"/>
      <c r="C221" s="661"/>
      <c r="D221" s="572"/>
      <c r="E221" s="572"/>
      <c r="F221" s="572"/>
      <c r="G221" s="329"/>
      <c r="H221" s="337"/>
      <c r="I221" s="337"/>
      <c r="J221" s="572"/>
      <c r="K221" s="565"/>
      <c r="L221" s="573"/>
      <c r="M221" s="565"/>
      <c r="N221" s="565"/>
      <c r="O221" s="354"/>
      <c r="P221" s="330"/>
      <c r="Q221" s="350"/>
      <c r="R221" s="332"/>
      <c r="S221" s="333" t="str">
        <f t="shared" si="326"/>
        <v>0</v>
      </c>
      <c r="T221" s="332"/>
      <c r="U221" s="333" t="str">
        <f t="shared" si="327"/>
        <v>0</v>
      </c>
      <c r="V221" s="332"/>
      <c r="W221" s="333" t="str">
        <f t="shared" si="328"/>
        <v>0</v>
      </c>
      <c r="X221" s="332"/>
      <c r="Y221" s="333" t="str">
        <f t="shared" si="329"/>
        <v>0</v>
      </c>
      <c r="Z221" s="332"/>
      <c r="AA221" s="333" t="str">
        <f t="shared" si="330"/>
        <v>0</v>
      </c>
      <c r="AB221" s="332"/>
      <c r="AC221" s="333" t="str">
        <f t="shared" si="331"/>
        <v>0</v>
      </c>
      <c r="AD221" s="332"/>
      <c r="AE221" s="333" t="str">
        <f t="shared" si="332"/>
        <v>0</v>
      </c>
      <c r="AF221" s="334" t="str">
        <f t="shared" si="337"/>
        <v/>
      </c>
      <c r="AG221" s="334" t="str">
        <f t="shared" si="334"/>
        <v/>
      </c>
      <c r="AH221" s="335"/>
      <c r="AI221" s="334" t="str">
        <f t="shared" si="335"/>
        <v/>
      </c>
      <c r="AJ221" s="334" t="str">
        <f>IFERROR(VLOOKUP((CONCATENATE(AG221,AI221)),Listados!$U$3:$V$11,2,FALSE),"")</f>
        <v/>
      </c>
      <c r="AK221" s="334" t="str">
        <f t="shared" si="336"/>
        <v/>
      </c>
      <c r="AL221" s="558"/>
      <c r="AM221" s="558"/>
      <c r="AN221" s="558"/>
      <c r="AO221" s="558"/>
      <c r="AP221" s="567"/>
      <c r="AQ221" s="567"/>
      <c r="AR221" s="565"/>
      <c r="AS221" s="565"/>
      <c r="AT221" s="565"/>
      <c r="AU221" s="565"/>
      <c r="AV221" s="336"/>
      <c r="AW221" s="336"/>
      <c r="AX221" s="336"/>
      <c r="AY221" s="336"/>
      <c r="AZ221" s="336"/>
      <c r="BA221" s="336"/>
      <c r="BB221" s="790"/>
      <c r="BC221" s="790"/>
      <c r="BD221" s="790"/>
      <c r="BE221" s="848"/>
      <c r="BF221" s="779"/>
      <c r="BG221" s="779"/>
    </row>
    <row r="222" spans="1:59">
      <c r="A222" s="693"/>
      <c r="B222" s="639"/>
      <c r="C222" s="661"/>
      <c r="D222" s="572"/>
      <c r="E222" s="572"/>
      <c r="F222" s="572"/>
      <c r="G222" s="329"/>
      <c r="H222" s="337"/>
      <c r="I222" s="337"/>
      <c r="J222" s="572"/>
      <c r="K222" s="565"/>
      <c r="L222" s="573"/>
      <c r="M222" s="565"/>
      <c r="N222" s="565"/>
      <c r="O222" s="347"/>
      <c r="P222" s="338"/>
      <c r="Q222" s="348"/>
      <c r="R222" s="332"/>
      <c r="S222" s="333" t="str">
        <f t="shared" si="326"/>
        <v>0</v>
      </c>
      <c r="T222" s="332"/>
      <c r="U222" s="333" t="str">
        <f t="shared" si="327"/>
        <v>0</v>
      </c>
      <c r="V222" s="332"/>
      <c r="W222" s="333" t="str">
        <f t="shared" si="328"/>
        <v>0</v>
      </c>
      <c r="X222" s="332"/>
      <c r="Y222" s="333" t="str">
        <f t="shared" si="329"/>
        <v>0</v>
      </c>
      <c r="Z222" s="332"/>
      <c r="AA222" s="333" t="str">
        <f t="shared" si="330"/>
        <v>0</v>
      </c>
      <c r="AB222" s="332"/>
      <c r="AC222" s="333" t="str">
        <f t="shared" si="331"/>
        <v>0</v>
      </c>
      <c r="AD222" s="332"/>
      <c r="AE222" s="333" t="str">
        <f t="shared" si="332"/>
        <v>0</v>
      </c>
      <c r="AF222" s="334" t="str">
        <f t="shared" si="337"/>
        <v/>
      </c>
      <c r="AG222" s="334" t="str">
        <f t="shared" si="334"/>
        <v/>
      </c>
      <c r="AH222" s="335"/>
      <c r="AI222" s="334" t="str">
        <f t="shared" si="335"/>
        <v/>
      </c>
      <c r="AJ222" s="334" t="str">
        <f>IFERROR(VLOOKUP((CONCATENATE(AG222,AI222)),Listados!$U$3:$V$11,2,FALSE),"")</f>
        <v/>
      </c>
      <c r="AK222" s="334" t="str">
        <f t="shared" si="336"/>
        <v/>
      </c>
      <c r="AL222" s="558"/>
      <c r="AM222" s="558"/>
      <c r="AN222" s="558"/>
      <c r="AO222" s="558"/>
      <c r="AP222" s="567"/>
      <c r="AQ222" s="567"/>
      <c r="AR222" s="565"/>
      <c r="AS222" s="565"/>
      <c r="AT222" s="565"/>
      <c r="AU222" s="565"/>
      <c r="AV222" s="336"/>
      <c r="AW222" s="336"/>
      <c r="AX222" s="339"/>
      <c r="AY222" s="339"/>
      <c r="AZ222" s="336"/>
      <c r="BA222" s="336"/>
      <c r="BB222" s="790"/>
      <c r="BC222" s="790"/>
      <c r="BD222" s="790"/>
      <c r="BE222" s="848"/>
      <c r="BF222" s="779"/>
      <c r="BG222" s="779"/>
    </row>
    <row r="223" spans="1:59" ht="15.75" thickBot="1">
      <c r="A223" s="693"/>
      <c r="B223" s="639"/>
      <c r="C223" s="661"/>
      <c r="D223" s="572"/>
      <c r="E223" s="572"/>
      <c r="F223" s="572"/>
      <c r="G223" s="329"/>
      <c r="H223" s="337"/>
      <c r="I223" s="337"/>
      <c r="J223" s="572"/>
      <c r="K223" s="565"/>
      <c r="L223" s="573"/>
      <c r="M223" s="565"/>
      <c r="N223" s="565"/>
      <c r="O223" s="347"/>
      <c r="P223" s="338"/>
      <c r="Q223" s="348"/>
      <c r="R223" s="332"/>
      <c r="S223" s="333" t="str">
        <f t="shared" si="326"/>
        <v>0</v>
      </c>
      <c r="T223" s="332"/>
      <c r="U223" s="333" t="str">
        <f t="shared" si="327"/>
        <v>0</v>
      </c>
      <c r="V223" s="332"/>
      <c r="W223" s="333" t="str">
        <f t="shared" si="328"/>
        <v>0</v>
      </c>
      <c r="X223" s="332"/>
      <c r="Y223" s="333" t="str">
        <f t="shared" si="329"/>
        <v>0</v>
      </c>
      <c r="Z223" s="332"/>
      <c r="AA223" s="333" t="str">
        <f t="shared" si="330"/>
        <v>0</v>
      </c>
      <c r="AB223" s="332"/>
      <c r="AC223" s="333" t="str">
        <f t="shared" si="331"/>
        <v>0</v>
      </c>
      <c r="AD223" s="332"/>
      <c r="AE223" s="333" t="str">
        <f t="shared" si="332"/>
        <v>0</v>
      </c>
      <c r="AF223" s="334" t="str">
        <f t="shared" si="337"/>
        <v/>
      </c>
      <c r="AG223" s="334" t="str">
        <f t="shared" si="334"/>
        <v/>
      </c>
      <c r="AH223" s="335"/>
      <c r="AI223" s="334" t="str">
        <f t="shared" si="335"/>
        <v/>
      </c>
      <c r="AJ223" s="334" t="str">
        <f>IFERROR(VLOOKUP((CONCATENATE(AG223,AI223)),Listados!$U$3:$V$11,2,FALSE),"")</f>
        <v/>
      </c>
      <c r="AK223" s="334" t="str">
        <f t="shared" si="336"/>
        <v/>
      </c>
      <c r="AL223" s="558"/>
      <c r="AM223" s="558"/>
      <c r="AN223" s="558"/>
      <c r="AO223" s="558"/>
      <c r="AP223" s="564"/>
      <c r="AQ223" s="564"/>
      <c r="AR223" s="565"/>
      <c r="AS223" s="565"/>
      <c r="AT223" s="565"/>
      <c r="AU223" s="565"/>
      <c r="AV223" s="336"/>
      <c r="AW223" s="336"/>
      <c r="AX223" s="339"/>
      <c r="AY223" s="339"/>
      <c r="AZ223" s="336"/>
      <c r="BA223" s="336"/>
      <c r="BB223" s="825"/>
      <c r="BC223" s="825"/>
      <c r="BD223" s="825"/>
      <c r="BE223" s="849"/>
      <c r="BF223" s="780"/>
      <c r="BG223" s="780"/>
    </row>
    <row r="224" spans="1:59">
      <c r="A224" s="693">
        <v>58</v>
      </c>
      <c r="B224" s="639"/>
      <c r="C224" s="661"/>
      <c r="D224" s="572"/>
      <c r="E224" s="574"/>
      <c r="F224" s="574"/>
      <c r="G224" s="329"/>
      <c r="H224" s="337"/>
      <c r="I224" s="337"/>
      <c r="J224" s="572"/>
      <c r="K224" s="565" t="e">
        <f>+VLOOKUP(J224,Listados!$K$8:$L$12,2,0)</f>
        <v>#N/A</v>
      </c>
      <c r="L224" s="573"/>
      <c r="M224" s="565" t="e">
        <f>+VLOOKUP(L224,Listados!$K$13:$L$17,2,0)</f>
        <v>#N/A</v>
      </c>
      <c r="N224" s="565" t="str">
        <f>IF(AND(J224&lt;&gt;"",L224&lt;&gt;""),VLOOKUP(J224&amp;L224,Listados!$M$3:$N$27,2,FALSE),"")</f>
        <v/>
      </c>
      <c r="O224" s="354"/>
      <c r="P224" s="330"/>
      <c r="Q224" s="350"/>
      <c r="R224" s="332"/>
      <c r="S224" s="333" t="str">
        <f t="shared" si="326"/>
        <v>0</v>
      </c>
      <c r="T224" s="332"/>
      <c r="U224" s="333" t="str">
        <f t="shared" si="327"/>
        <v>0</v>
      </c>
      <c r="V224" s="332"/>
      <c r="W224" s="333" t="str">
        <f t="shared" si="328"/>
        <v>0</v>
      </c>
      <c r="X224" s="332"/>
      <c r="Y224" s="333" t="str">
        <f t="shared" si="329"/>
        <v>0</v>
      </c>
      <c r="Z224" s="332"/>
      <c r="AA224" s="333" t="str">
        <f t="shared" si="330"/>
        <v>0</v>
      </c>
      <c r="AB224" s="332"/>
      <c r="AC224" s="333" t="str">
        <f t="shared" si="331"/>
        <v>0</v>
      </c>
      <c r="AD224" s="332"/>
      <c r="AE224" s="333" t="str">
        <f t="shared" si="332"/>
        <v>0</v>
      </c>
      <c r="AF224" s="334" t="str">
        <f t="shared" si="337"/>
        <v/>
      </c>
      <c r="AG224" s="334" t="str">
        <f t="shared" si="334"/>
        <v/>
      </c>
      <c r="AH224" s="335"/>
      <c r="AI224" s="334" t="str">
        <f t="shared" si="335"/>
        <v/>
      </c>
      <c r="AJ224" s="334" t="str">
        <f>IFERROR(VLOOKUP((CONCATENATE(AG224,AI224)),Listados!$U$3:$V$11,2,FALSE),"")</f>
        <v/>
      </c>
      <c r="AK224" s="334" t="str">
        <f t="shared" si="336"/>
        <v/>
      </c>
      <c r="AL224" s="558" t="e">
        <f t="shared" ref="AL224" si="380">AVERAGE(AK224:AK227)</f>
        <v>#DIV/0!</v>
      </c>
      <c r="AM224" s="558" t="e">
        <f t="shared" ref="AM224" si="381">IF(AL224&lt;=50,"Débil",IF(AL224&lt;=99,"Moderado",IF(AL224=100,"fuerte","")))</f>
        <v>#DIV/0!</v>
      </c>
      <c r="AN224" s="558" t="e">
        <f t="shared" ref="AN224" si="382">+IF(AND(Q224="Preventivo",AM224="Fuerte"),2,IF(AND(Q224="Preventivo",AM224="Moderado"),1,0))</f>
        <v>#DIV/0!</v>
      </c>
      <c r="AO224" s="558" t="e">
        <f t="shared" ref="AO224" si="383">+IF(AND(Q224="Detectivo",$AM224="Fuerte"),2,IF(AND(Q224="Detectivo",$AM224="Moderado"),1,IF(AND(Q224="Preventivo",$AM224="Fuerte"),1,0)))</f>
        <v>#DIV/0!</v>
      </c>
      <c r="AP224" s="566" t="e">
        <f t="shared" ref="AP224" si="384">+K224-AN224</f>
        <v>#N/A</v>
      </c>
      <c r="AQ224" s="566" t="e">
        <f t="shared" ref="AQ224" si="385">+M224-AO224</f>
        <v>#N/A</v>
      </c>
      <c r="AR224" s="565" t="e">
        <f>+VLOOKUP(MIN(AP224),Listados!$J$18:$K$24,2,TRUE)</f>
        <v>#N/A</v>
      </c>
      <c r="AS224" s="565" t="e">
        <f>+VLOOKUP(MIN(AQ224),Listados!$J$26:$K$32,2,TRUE)</f>
        <v>#N/A</v>
      </c>
      <c r="AT224" s="565" t="e">
        <f>IF(AND(AR224&lt;&gt;"",AS224&lt;&gt;""),VLOOKUP(AR224&amp;AS224,Listados!$M$3:$N$27,2,FALSE),"")</f>
        <v>#N/A</v>
      </c>
      <c r="AU224" s="565" t="e">
        <f>+VLOOKUP(AT224,Listados!$P$3:$Q$6,2,FALSE)</f>
        <v>#N/A</v>
      </c>
      <c r="AV224" s="336"/>
      <c r="AW224" s="336"/>
      <c r="AX224" s="339"/>
      <c r="AY224" s="361"/>
      <c r="AZ224" s="336"/>
      <c r="BA224" s="336"/>
      <c r="BB224" s="790"/>
      <c r="BC224" s="790"/>
      <c r="BD224" s="790"/>
      <c r="BE224" s="848"/>
      <c r="BF224" s="779"/>
      <c r="BG224" s="779"/>
    </row>
    <row r="225" spans="1:59">
      <c r="A225" s="693"/>
      <c r="B225" s="639"/>
      <c r="C225" s="661"/>
      <c r="D225" s="572"/>
      <c r="E225" s="572"/>
      <c r="F225" s="572"/>
      <c r="G225" s="329"/>
      <c r="H225" s="337"/>
      <c r="I225" s="337"/>
      <c r="J225" s="572"/>
      <c r="K225" s="565"/>
      <c r="L225" s="573"/>
      <c r="M225" s="565"/>
      <c r="N225" s="565"/>
      <c r="O225" s="354"/>
      <c r="P225" s="330"/>
      <c r="Q225" s="350"/>
      <c r="R225" s="332"/>
      <c r="S225" s="333" t="str">
        <f t="shared" si="326"/>
        <v>0</v>
      </c>
      <c r="T225" s="332"/>
      <c r="U225" s="333" t="str">
        <f t="shared" si="327"/>
        <v>0</v>
      </c>
      <c r="V225" s="332"/>
      <c r="W225" s="333" t="str">
        <f t="shared" si="328"/>
        <v>0</v>
      </c>
      <c r="X225" s="332"/>
      <c r="Y225" s="333" t="str">
        <f t="shared" si="329"/>
        <v>0</v>
      </c>
      <c r="Z225" s="332"/>
      <c r="AA225" s="333" t="str">
        <f t="shared" si="330"/>
        <v>0</v>
      </c>
      <c r="AB225" s="332"/>
      <c r="AC225" s="333" t="str">
        <f t="shared" si="331"/>
        <v>0</v>
      </c>
      <c r="AD225" s="332"/>
      <c r="AE225" s="333" t="str">
        <f t="shared" si="332"/>
        <v>0</v>
      </c>
      <c r="AF225" s="334" t="str">
        <f t="shared" si="337"/>
        <v/>
      </c>
      <c r="AG225" s="334" t="str">
        <f t="shared" si="334"/>
        <v/>
      </c>
      <c r="AH225" s="335"/>
      <c r="AI225" s="334" t="str">
        <f t="shared" si="335"/>
        <v/>
      </c>
      <c r="AJ225" s="334" t="str">
        <f>IFERROR(VLOOKUP((CONCATENATE(AG225,AI225)),Listados!$U$3:$V$11,2,FALSE),"")</f>
        <v/>
      </c>
      <c r="AK225" s="334" t="str">
        <f t="shared" si="336"/>
        <v/>
      </c>
      <c r="AL225" s="558"/>
      <c r="AM225" s="558"/>
      <c r="AN225" s="558"/>
      <c r="AO225" s="558"/>
      <c r="AP225" s="567"/>
      <c r="AQ225" s="567"/>
      <c r="AR225" s="565"/>
      <c r="AS225" s="565"/>
      <c r="AT225" s="565"/>
      <c r="AU225" s="565"/>
      <c r="AV225" s="336"/>
      <c r="AW225" s="336"/>
      <c r="AX225" s="336"/>
      <c r="AY225" s="336"/>
      <c r="AZ225" s="336"/>
      <c r="BA225" s="336"/>
      <c r="BB225" s="790"/>
      <c r="BC225" s="790"/>
      <c r="BD225" s="790"/>
      <c r="BE225" s="848"/>
      <c r="BF225" s="779"/>
      <c r="BG225" s="779"/>
    </row>
    <row r="226" spans="1:59">
      <c r="A226" s="693"/>
      <c r="B226" s="639"/>
      <c r="C226" s="661"/>
      <c r="D226" s="572"/>
      <c r="E226" s="572"/>
      <c r="F226" s="572"/>
      <c r="G226" s="329"/>
      <c r="H226" s="337"/>
      <c r="I226" s="337"/>
      <c r="J226" s="572"/>
      <c r="K226" s="565"/>
      <c r="L226" s="573"/>
      <c r="M226" s="565"/>
      <c r="N226" s="565"/>
      <c r="O226" s="347"/>
      <c r="P226" s="338"/>
      <c r="Q226" s="348"/>
      <c r="R226" s="332"/>
      <c r="S226" s="333" t="str">
        <f t="shared" si="326"/>
        <v>0</v>
      </c>
      <c r="T226" s="332"/>
      <c r="U226" s="333" t="str">
        <f t="shared" si="327"/>
        <v>0</v>
      </c>
      <c r="V226" s="332"/>
      <c r="W226" s="333" t="str">
        <f t="shared" si="328"/>
        <v>0</v>
      </c>
      <c r="X226" s="332"/>
      <c r="Y226" s="333" t="str">
        <f t="shared" si="329"/>
        <v>0</v>
      </c>
      <c r="Z226" s="332"/>
      <c r="AA226" s="333" t="str">
        <f t="shared" si="330"/>
        <v>0</v>
      </c>
      <c r="AB226" s="332"/>
      <c r="AC226" s="333" t="str">
        <f t="shared" si="331"/>
        <v>0</v>
      </c>
      <c r="AD226" s="332"/>
      <c r="AE226" s="333" t="str">
        <f t="shared" si="332"/>
        <v>0</v>
      </c>
      <c r="AF226" s="334" t="str">
        <f t="shared" si="337"/>
        <v/>
      </c>
      <c r="AG226" s="334" t="str">
        <f t="shared" si="334"/>
        <v/>
      </c>
      <c r="AH226" s="335"/>
      <c r="AI226" s="334" t="str">
        <f t="shared" si="335"/>
        <v/>
      </c>
      <c r="AJ226" s="334" t="str">
        <f>IFERROR(VLOOKUP((CONCATENATE(AG226,AI226)),Listados!$U$3:$V$11,2,FALSE),"")</f>
        <v/>
      </c>
      <c r="AK226" s="334" t="str">
        <f t="shared" si="336"/>
        <v/>
      </c>
      <c r="AL226" s="558"/>
      <c r="AM226" s="558"/>
      <c r="AN226" s="558"/>
      <c r="AO226" s="558"/>
      <c r="AP226" s="567"/>
      <c r="AQ226" s="567"/>
      <c r="AR226" s="565"/>
      <c r="AS226" s="565"/>
      <c r="AT226" s="565"/>
      <c r="AU226" s="565"/>
      <c r="AV226" s="336"/>
      <c r="AW226" s="336"/>
      <c r="AX226" s="339"/>
      <c r="AY226" s="339"/>
      <c r="AZ226" s="336"/>
      <c r="BA226" s="336"/>
      <c r="BB226" s="790"/>
      <c r="BC226" s="790"/>
      <c r="BD226" s="790"/>
      <c r="BE226" s="848"/>
      <c r="BF226" s="779"/>
      <c r="BG226" s="779"/>
    </row>
    <row r="227" spans="1:59" ht="15.75" thickBot="1">
      <c r="A227" s="693"/>
      <c r="B227" s="639"/>
      <c r="C227" s="661"/>
      <c r="D227" s="572"/>
      <c r="E227" s="572"/>
      <c r="F227" s="572"/>
      <c r="G227" s="329"/>
      <c r="H227" s="337"/>
      <c r="I227" s="337"/>
      <c r="J227" s="572"/>
      <c r="K227" s="565"/>
      <c r="L227" s="573"/>
      <c r="M227" s="565"/>
      <c r="N227" s="565"/>
      <c r="O227" s="347"/>
      <c r="P227" s="338"/>
      <c r="Q227" s="348"/>
      <c r="R227" s="332"/>
      <c r="S227" s="333" t="str">
        <f t="shared" si="326"/>
        <v>0</v>
      </c>
      <c r="T227" s="332"/>
      <c r="U227" s="333" t="str">
        <f t="shared" si="327"/>
        <v>0</v>
      </c>
      <c r="V227" s="332"/>
      <c r="W227" s="333" t="str">
        <f t="shared" si="328"/>
        <v>0</v>
      </c>
      <c r="X227" s="332"/>
      <c r="Y227" s="333" t="str">
        <f t="shared" si="329"/>
        <v>0</v>
      </c>
      <c r="Z227" s="332"/>
      <c r="AA227" s="333" t="str">
        <f t="shared" si="330"/>
        <v>0</v>
      </c>
      <c r="AB227" s="332"/>
      <c r="AC227" s="333" t="str">
        <f t="shared" si="331"/>
        <v>0</v>
      </c>
      <c r="AD227" s="332"/>
      <c r="AE227" s="333" t="str">
        <f t="shared" si="332"/>
        <v>0</v>
      </c>
      <c r="AF227" s="334" t="str">
        <f t="shared" si="337"/>
        <v/>
      </c>
      <c r="AG227" s="334" t="str">
        <f t="shared" si="334"/>
        <v/>
      </c>
      <c r="AH227" s="335"/>
      <c r="AI227" s="334" t="str">
        <f t="shared" si="335"/>
        <v/>
      </c>
      <c r="AJ227" s="334" t="str">
        <f>IFERROR(VLOOKUP((CONCATENATE(AG227,AI227)),Listados!$U$3:$V$11,2,FALSE),"")</f>
        <v/>
      </c>
      <c r="AK227" s="334" t="str">
        <f t="shared" si="336"/>
        <v/>
      </c>
      <c r="AL227" s="558"/>
      <c r="AM227" s="558"/>
      <c r="AN227" s="558"/>
      <c r="AO227" s="558"/>
      <c r="AP227" s="564"/>
      <c r="AQ227" s="564"/>
      <c r="AR227" s="565"/>
      <c r="AS227" s="565"/>
      <c r="AT227" s="565"/>
      <c r="AU227" s="565"/>
      <c r="AV227" s="336"/>
      <c r="AW227" s="336"/>
      <c r="AX227" s="339"/>
      <c r="AY227" s="339"/>
      <c r="AZ227" s="336"/>
      <c r="BA227" s="336"/>
      <c r="BB227" s="825"/>
      <c r="BC227" s="825"/>
      <c r="BD227" s="825"/>
      <c r="BE227" s="849"/>
      <c r="BF227" s="780"/>
      <c r="BG227" s="780"/>
    </row>
    <row r="228" spans="1:59">
      <c r="A228" s="693">
        <v>59</v>
      </c>
      <c r="B228" s="639"/>
      <c r="C228" s="661"/>
      <c r="D228" s="572"/>
      <c r="E228" s="574"/>
      <c r="F228" s="574"/>
      <c r="G228" s="329"/>
      <c r="H228" s="337"/>
      <c r="I228" s="337"/>
      <c r="J228" s="572"/>
      <c r="K228" s="565" t="e">
        <f>+VLOOKUP(J228,Listados!$K$8:$L$12,2,0)</f>
        <v>#N/A</v>
      </c>
      <c r="L228" s="573"/>
      <c r="M228" s="565" t="e">
        <f>+VLOOKUP(L228,Listados!$K$13:$L$17,2,0)</f>
        <v>#N/A</v>
      </c>
      <c r="N228" s="565" t="str">
        <f>IF(AND(J228&lt;&gt;"",L228&lt;&gt;""),VLOOKUP(J228&amp;L228,Listados!$M$3:$N$27,2,FALSE),"")</f>
        <v/>
      </c>
      <c r="O228" s="354"/>
      <c r="P228" s="330"/>
      <c r="Q228" s="350"/>
      <c r="R228" s="332"/>
      <c r="S228" s="333" t="str">
        <f t="shared" si="326"/>
        <v>0</v>
      </c>
      <c r="T228" s="332"/>
      <c r="U228" s="333" t="str">
        <f t="shared" si="327"/>
        <v>0</v>
      </c>
      <c r="V228" s="332"/>
      <c r="W228" s="333" t="str">
        <f t="shared" si="328"/>
        <v>0</v>
      </c>
      <c r="X228" s="332"/>
      <c r="Y228" s="333" t="str">
        <f t="shared" si="329"/>
        <v>0</v>
      </c>
      <c r="Z228" s="332"/>
      <c r="AA228" s="333" t="str">
        <f t="shared" si="330"/>
        <v>0</v>
      </c>
      <c r="AB228" s="332"/>
      <c r="AC228" s="333" t="str">
        <f t="shared" si="331"/>
        <v>0</v>
      </c>
      <c r="AD228" s="332"/>
      <c r="AE228" s="333" t="str">
        <f t="shared" si="332"/>
        <v>0</v>
      </c>
      <c r="AF228" s="334" t="str">
        <f t="shared" si="337"/>
        <v/>
      </c>
      <c r="AG228" s="334" t="str">
        <f t="shared" si="334"/>
        <v/>
      </c>
      <c r="AH228" s="335"/>
      <c r="AI228" s="334" t="str">
        <f t="shared" si="335"/>
        <v/>
      </c>
      <c r="AJ228" s="334" t="str">
        <f>IFERROR(VLOOKUP((CONCATENATE(AG228,AI228)),Listados!$U$3:$V$11,2,FALSE),"")</f>
        <v/>
      </c>
      <c r="AK228" s="334" t="str">
        <f t="shared" si="336"/>
        <v/>
      </c>
      <c r="AL228" s="558" t="e">
        <f t="shared" ref="AL228" si="386">AVERAGE(AK228:AK231)</f>
        <v>#DIV/0!</v>
      </c>
      <c r="AM228" s="558" t="e">
        <f t="shared" ref="AM228" si="387">IF(AL228&lt;=50,"Débil",IF(AL228&lt;=99,"Moderado",IF(AL228=100,"fuerte","")))</f>
        <v>#DIV/0!</v>
      </c>
      <c r="AN228" s="558" t="e">
        <f t="shared" ref="AN228" si="388">+IF(AND(Q228="Preventivo",AM228="Fuerte"),2,IF(AND(Q228="Preventivo",AM228="Moderado"),1,0))</f>
        <v>#DIV/0!</v>
      </c>
      <c r="AO228" s="558" t="e">
        <f t="shared" ref="AO228" si="389">+IF(AND(Q228="Detectivo",$AM228="Fuerte"),2,IF(AND(Q228="Detectivo",$AM228="Moderado"),1,IF(AND(Q228="Preventivo",$AM228="Fuerte"),1,0)))</f>
        <v>#DIV/0!</v>
      </c>
      <c r="AP228" s="566" t="e">
        <f t="shared" ref="AP228" si="390">+K228-AN228</f>
        <v>#N/A</v>
      </c>
      <c r="AQ228" s="566" t="e">
        <f t="shared" ref="AQ228" si="391">+M228-AO228</f>
        <v>#N/A</v>
      </c>
      <c r="AR228" s="565" t="e">
        <f>+VLOOKUP(MIN(AP228),Listados!$J$18:$K$24,2,TRUE)</f>
        <v>#N/A</v>
      </c>
      <c r="AS228" s="565" t="e">
        <f>+VLOOKUP(MIN(AQ228),Listados!$J$26:$K$32,2,TRUE)</f>
        <v>#N/A</v>
      </c>
      <c r="AT228" s="565" t="e">
        <f>IF(AND(AR228&lt;&gt;"",AS228&lt;&gt;""),VLOOKUP(AR228&amp;AS228,Listados!$M$3:$N$27,2,FALSE),"")</f>
        <v>#N/A</v>
      </c>
      <c r="AU228" s="565" t="e">
        <f>+VLOOKUP(AT228,Listados!$P$3:$Q$6,2,FALSE)</f>
        <v>#N/A</v>
      </c>
      <c r="AV228" s="336"/>
      <c r="AW228" s="336"/>
      <c r="AX228" s="339"/>
      <c r="AY228" s="361"/>
      <c r="AZ228" s="336"/>
      <c r="BA228" s="336"/>
      <c r="BB228" s="790"/>
      <c r="BC228" s="790"/>
      <c r="BD228" s="790"/>
      <c r="BE228" s="848"/>
      <c r="BF228" s="779"/>
      <c r="BG228" s="779"/>
    </row>
    <row r="229" spans="1:59">
      <c r="A229" s="693"/>
      <c r="B229" s="639"/>
      <c r="C229" s="661"/>
      <c r="D229" s="572"/>
      <c r="E229" s="572"/>
      <c r="F229" s="572"/>
      <c r="G229" s="329"/>
      <c r="H229" s="337"/>
      <c r="I229" s="337"/>
      <c r="J229" s="572"/>
      <c r="K229" s="565"/>
      <c r="L229" s="573"/>
      <c r="M229" s="565"/>
      <c r="N229" s="565"/>
      <c r="O229" s="354"/>
      <c r="P229" s="330"/>
      <c r="Q229" s="350"/>
      <c r="R229" s="332"/>
      <c r="S229" s="333" t="str">
        <f t="shared" si="326"/>
        <v>0</v>
      </c>
      <c r="T229" s="332"/>
      <c r="U229" s="333" t="str">
        <f t="shared" si="327"/>
        <v>0</v>
      </c>
      <c r="V229" s="332"/>
      <c r="W229" s="333" t="str">
        <f t="shared" si="328"/>
        <v>0</v>
      </c>
      <c r="X229" s="332"/>
      <c r="Y229" s="333" t="str">
        <f t="shared" si="329"/>
        <v>0</v>
      </c>
      <c r="Z229" s="332"/>
      <c r="AA229" s="333" t="str">
        <f t="shared" si="330"/>
        <v>0</v>
      </c>
      <c r="AB229" s="332"/>
      <c r="AC229" s="333" t="str">
        <f t="shared" si="331"/>
        <v>0</v>
      </c>
      <c r="AD229" s="332"/>
      <c r="AE229" s="333" t="str">
        <f t="shared" si="332"/>
        <v>0</v>
      </c>
      <c r="AF229" s="334" t="str">
        <f t="shared" si="337"/>
        <v/>
      </c>
      <c r="AG229" s="334" t="str">
        <f t="shared" si="334"/>
        <v/>
      </c>
      <c r="AH229" s="335"/>
      <c r="AI229" s="334" t="str">
        <f t="shared" si="335"/>
        <v/>
      </c>
      <c r="AJ229" s="334" t="str">
        <f>IFERROR(VLOOKUP((CONCATENATE(AG229,AI229)),Listados!$U$3:$V$11,2,FALSE),"")</f>
        <v/>
      </c>
      <c r="AK229" s="334" t="str">
        <f t="shared" si="336"/>
        <v/>
      </c>
      <c r="AL229" s="558"/>
      <c r="AM229" s="558"/>
      <c r="AN229" s="558"/>
      <c r="AO229" s="558"/>
      <c r="AP229" s="567"/>
      <c r="AQ229" s="567"/>
      <c r="AR229" s="565"/>
      <c r="AS229" s="565"/>
      <c r="AT229" s="565"/>
      <c r="AU229" s="565"/>
      <c r="AV229" s="336"/>
      <c r="AW229" s="336"/>
      <c r="AX229" s="336"/>
      <c r="AY229" s="336"/>
      <c r="AZ229" s="336"/>
      <c r="BA229" s="336"/>
      <c r="BB229" s="790"/>
      <c r="BC229" s="790"/>
      <c r="BD229" s="790"/>
      <c r="BE229" s="848"/>
      <c r="BF229" s="779"/>
      <c r="BG229" s="779"/>
    </row>
    <row r="230" spans="1:59">
      <c r="A230" s="693"/>
      <c r="B230" s="639"/>
      <c r="C230" s="661"/>
      <c r="D230" s="572"/>
      <c r="E230" s="572"/>
      <c r="F230" s="572"/>
      <c r="G230" s="329"/>
      <c r="H230" s="337"/>
      <c r="I230" s="337"/>
      <c r="J230" s="572"/>
      <c r="K230" s="565"/>
      <c r="L230" s="573"/>
      <c r="M230" s="565"/>
      <c r="N230" s="565"/>
      <c r="O230" s="347"/>
      <c r="P230" s="338"/>
      <c r="Q230" s="348"/>
      <c r="R230" s="332"/>
      <c r="S230" s="333" t="str">
        <f t="shared" si="326"/>
        <v>0</v>
      </c>
      <c r="T230" s="332"/>
      <c r="U230" s="333" t="str">
        <f t="shared" si="327"/>
        <v>0</v>
      </c>
      <c r="V230" s="332"/>
      <c r="W230" s="333" t="str">
        <f t="shared" si="328"/>
        <v>0</v>
      </c>
      <c r="X230" s="332"/>
      <c r="Y230" s="333" t="str">
        <f t="shared" si="329"/>
        <v>0</v>
      </c>
      <c r="Z230" s="332"/>
      <c r="AA230" s="333" t="str">
        <f t="shared" si="330"/>
        <v>0</v>
      </c>
      <c r="AB230" s="332"/>
      <c r="AC230" s="333" t="str">
        <f t="shared" si="331"/>
        <v>0</v>
      </c>
      <c r="AD230" s="332"/>
      <c r="AE230" s="333" t="str">
        <f t="shared" si="332"/>
        <v>0</v>
      </c>
      <c r="AF230" s="334" t="str">
        <f t="shared" si="337"/>
        <v/>
      </c>
      <c r="AG230" s="334" t="str">
        <f t="shared" si="334"/>
        <v/>
      </c>
      <c r="AH230" s="335"/>
      <c r="AI230" s="334" t="str">
        <f t="shared" si="335"/>
        <v/>
      </c>
      <c r="AJ230" s="334" t="str">
        <f>IFERROR(VLOOKUP((CONCATENATE(AG230,AI230)),Listados!$U$3:$V$11,2,FALSE),"")</f>
        <v/>
      </c>
      <c r="AK230" s="334" t="str">
        <f t="shared" si="336"/>
        <v/>
      </c>
      <c r="AL230" s="558"/>
      <c r="AM230" s="558"/>
      <c r="AN230" s="558"/>
      <c r="AO230" s="558"/>
      <c r="AP230" s="567"/>
      <c r="AQ230" s="567"/>
      <c r="AR230" s="565"/>
      <c r="AS230" s="565"/>
      <c r="AT230" s="565"/>
      <c r="AU230" s="565"/>
      <c r="AV230" s="336"/>
      <c r="AW230" s="336"/>
      <c r="AX230" s="339"/>
      <c r="AY230" s="339"/>
      <c r="AZ230" s="336"/>
      <c r="BA230" s="336"/>
      <c r="BB230" s="790"/>
      <c r="BC230" s="790"/>
      <c r="BD230" s="790"/>
      <c r="BE230" s="848"/>
      <c r="BF230" s="779"/>
      <c r="BG230" s="779"/>
    </row>
    <row r="231" spans="1:59" ht="15.75" thickBot="1">
      <c r="A231" s="693"/>
      <c r="B231" s="639"/>
      <c r="C231" s="661"/>
      <c r="D231" s="572"/>
      <c r="E231" s="572"/>
      <c r="F231" s="572"/>
      <c r="G231" s="329"/>
      <c r="H231" s="337"/>
      <c r="I231" s="337"/>
      <c r="J231" s="572"/>
      <c r="K231" s="565"/>
      <c r="L231" s="573"/>
      <c r="M231" s="565"/>
      <c r="N231" s="565"/>
      <c r="O231" s="347"/>
      <c r="P231" s="338"/>
      <c r="Q231" s="348"/>
      <c r="R231" s="332"/>
      <c r="S231" s="333" t="str">
        <f t="shared" si="326"/>
        <v>0</v>
      </c>
      <c r="T231" s="332"/>
      <c r="U231" s="333" t="str">
        <f t="shared" si="327"/>
        <v>0</v>
      </c>
      <c r="V231" s="332"/>
      <c r="W231" s="333" t="str">
        <f t="shared" si="328"/>
        <v>0</v>
      </c>
      <c r="X231" s="332"/>
      <c r="Y231" s="333" t="str">
        <f t="shared" si="329"/>
        <v>0</v>
      </c>
      <c r="Z231" s="332"/>
      <c r="AA231" s="333" t="str">
        <f t="shared" si="330"/>
        <v>0</v>
      </c>
      <c r="AB231" s="332"/>
      <c r="AC231" s="333" t="str">
        <f t="shared" si="331"/>
        <v>0</v>
      </c>
      <c r="AD231" s="332"/>
      <c r="AE231" s="333" t="str">
        <f t="shared" si="332"/>
        <v>0</v>
      </c>
      <c r="AF231" s="334" t="str">
        <f t="shared" si="337"/>
        <v/>
      </c>
      <c r="AG231" s="334" t="str">
        <f t="shared" si="334"/>
        <v/>
      </c>
      <c r="AH231" s="335"/>
      <c r="AI231" s="334" t="str">
        <f t="shared" si="335"/>
        <v/>
      </c>
      <c r="AJ231" s="334" t="str">
        <f>IFERROR(VLOOKUP((CONCATENATE(AG231,AI231)),Listados!$U$3:$V$11,2,FALSE),"")</f>
        <v/>
      </c>
      <c r="AK231" s="334" t="str">
        <f t="shared" si="336"/>
        <v/>
      </c>
      <c r="AL231" s="558"/>
      <c r="AM231" s="558"/>
      <c r="AN231" s="558"/>
      <c r="AO231" s="558"/>
      <c r="AP231" s="564"/>
      <c r="AQ231" s="564"/>
      <c r="AR231" s="565"/>
      <c r="AS231" s="565"/>
      <c r="AT231" s="565"/>
      <c r="AU231" s="565"/>
      <c r="AV231" s="336"/>
      <c r="AW231" s="336"/>
      <c r="AX231" s="339"/>
      <c r="AY231" s="339"/>
      <c r="AZ231" s="336"/>
      <c r="BA231" s="336"/>
      <c r="BB231" s="825"/>
      <c r="BC231" s="825"/>
      <c r="BD231" s="825"/>
      <c r="BE231" s="849"/>
      <c r="BF231" s="780"/>
      <c r="BG231" s="780"/>
    </row>
    <row r="232" spans="1:59">
      <c r="A232" s="693">
        <v>60</v>
      </c>
      <c r="B232" s="639"/>
      <c r="C232" s="661"/>
      <c r="D232" s="572"/>
      <c r="E232" s="574"/>
      <c r="F232" s="574"/>
      <c r="G232" s="329"/>
      <c r="H232" s="337"/>
      <c r="I232" s="337"/>
      <c r="J232" s="572"/>
      <c r="K232" s="565" t="e">
        <f>+VLOOKUP(J232,Listados!$K$8:$L$12,2,0)</f>
        <v>#N/A</v>
      </c>
      <c r="L232" s="573"/>
      <c r="M232" s="565" t="e">
        <f>+VLOOKUP(L232,Listados!$K$13:$L$17,2,0)</f>
        <v>#N/A</v>
      </c>
      <c r="N232" s="565" t="str">
        <f>IF(AND(J232&lt;&gt;"",L232&lt;&gt;""),VLOOKUP(J232&amp;L232,Listados!$M$3:$N$27,2,FALSE),"")</f>
        <v/>
      </c>
      <c r="O232" s="354"/>
      <c r="P232" s="330"/>
      <c r="Q232" s="350"/>
      <c r="R232" s="332"/>
      <c r="S232" s="333" t="str">
        <f t="shared" si="326"/>
        <v>0</v>
      </c>
      <c r="T232" s="332"/>
      <c r="U232" s="333" t="str">
        <f t="shared" si="327"/>
        <v>0</v>
      </c>
      <c r="V232" s="332"/>
      <c r="W232" s="333" t="str">
        <f t="shared" si="328"/>
        <v>0</v>
      </c>
      <c r="X232" s="332"/>
      <c r="Y232" s="333" t="str">
        <f t="shared" si="329"/>
        <v>0</v>
      </c>
      <c r="Z232" s="332"/>
      <c r="AA232" s="333" t="str">
        <f t="shared" si="330"/>
        <v>0</v>
      </c>
      <c r="AB232" s="332"/>
      <c r="AC232" s="333" t="str">
        <f t="shared" si="331"/>
        <v>0</v>
      </c>
      <c r="AD232" s="332"/>
      <c r="AE232" s="333" t="str">
        <f t="shared" si="332"/>
        <v>0</v>
      </c>
      <c r="AF232" s="334" t="str">
        <f t="shared" si="337"/>
        <v/>
      </c>
      <c r="AG232" s="334" t="str">
        <f t="shared" si="334"/>
        <v/>
      </c>
      <c r="AH232" s="335"/>
      <c r="AI232" s="334" t="str">
        <f t="shared" si="335"/>
        <v/>
      </c>
      <c r="AJ232" s="334" t="str">
        <f>IFERROR(VLOOKUP((CONCATENATE(AG232,AI232)),Listados!$U$3:$V$11,2,FALSE),"")</f>
        <v/>
      </c>
      <c r="AK232" s="334" t="str">
        <f t="shared" si="336"/>
        <v/>
      </c>
      <c r="AL232" s="558" t="e">
        <f t="shared" ref="AL232" si="392">AVERAGE(AK232:AK235)</f>
        <v>#DIV/0!</v>
      </c>
      <c r="AM232" s="558" t="e">
        <f t="shared" ref="AM232" si="393">IF(AL232&lt;=50,"Débil",IF(AL232&lt;=99,"Moderado",IF(AL232=100,"fuerte","")))</f>
        <v>#DIV/0!</v>
      </c>
      <c r="AN232" s="558" t="e">
        <f t="shared" ref="AN232" si="394">+IF(AND(Q232="Preventivo",AM232="Fuerte"),2,IF(AND(Q232="Preventivo",AM232="Moderado"),1,0))</f>
        <v>#DIV/0!</v>
      </c>
      <c r="AO232" s="558" t="e">
        <f t="shared" ref="AO232" si="395">+IF(AND(Q232="Detectivo",$AM232="Fuerte"),2,IF(AND(Q232="Detectivo",$AM232="Moderado"),1,IF(AND(Q232="Preventivo",$AM232="Fuerte"),1,0)))</f>
        <v>#DIV/0!</v>
      </c>
      <c r="AP232" s="566" t="e">
        <f t="shared" ref="AP232" si="396">+K232-AN232</f>
        <v>#N/A</v>
      </c>
      <c r="AQ232" s="566" t="e">
        <f t="shared" ref="AQ232" si="397">+M232-AO232</f>
        <v>#N/A</v>
      </c>
      <c r="AR232" s="565" t="e">
        <f>+VLOOKUP(MIN(AP232),Listados!$J$18:$K$24,2,TRUE)</f>
        <v>#N/A</v>
      </c>
      <c r="AS232" s="565" t="e">
        <f>+VLOOKUP(MIN(AQ232),Listados!$J$26:$K$32,2,TRUE)</f>
        <v>#N/A</v>
      </c>
      <c r="AT232" s="565" t="e">
        <f>IF(AND(AR232&lt;&gt;"",AS232&lt;&gt;""),VLOOKUP(AR232&amp;AS232,Listados!$M$3:$N$27,2,FALSE),"")</f>
        <v>#N/A</v>
      </c>
      <c r="AU232" s="565" t="e">
        <f>+VLOOKUP(AT232,Listados!$P$3:$Q$6,2,FALSE)</f>
        <v>#N/A</v>
      </c>
      <c r="AV232" s="336"/>
      <c r="AW232" s="336"/>
      <c r="AX232" s="339"/>
      <c r="AY232" s="361"/>
      <c r="AZ232" s="336"/>
      <c r="BA232" s="336"/>
      <c r="BB232" s="790"/>
      <c r="BC232" s="790"/>
      <c r="BD232" s="790"/>
      <c r="BE232" s="848"/>
      <c r="BF232" s="779"/>
      <c r="BG232" s="779"/>
    </row>
    <row r="233" spans="1:59">
      <c r="A233" s="693"/>
      <c r="B233" s="639"/>
      <c r="C233" s="661"/>
      <c r="D233" s="572"/>
      <c r="E233" s="572"/>
      <c r="F233" s="572"/>
      <c r="G233" s="329"/>
      <c r="H233" s="337"/>
      <c r="I233" s="337"/>
      <c r="J233" s="572"/>
      <c r="K233" s="565"/>
      <c r="L233" s="573"/>
      <c r="M233" s="565"/>
      <c r="N233" s="565"/>
      <c r="O233" s="354"/>
      <c r="P233" s="330"/>
      <c r="Q233" s="350"/>
      <c r="R233" s="332"/>
      <c r="S233" s="333" t="str">
        <f t="shared" si="326"/>
        <v>0</v>
      </c>
      <c r="T233" s="332"/>
      <c r="U233" s="333" t="str">
        <f t="shared" si="327"/>
        <v>0</v>
      </c>
      <c r="V233" s="332"/>
      <c r="W233" s="333" t="str">
        <f t="shared" si="328"/>
        <v>0</v>
      </c>
      <c r="X233" s="332"/>
      <c r="Y233" s="333" t="str">
        <f t="shared" si="329"/>
        <v>0</v>
      </c>
      <c r="Z233" s="332"/>
      <c r="AA233" s="333" t="str">
        <f t="shared" si="330"/>
        <v>0</v>
      </c>
      <c r="AB233" s="332"/>
      <c r="AC233" s="333" t="str">
        <f t="shared" si="331"/>
        <v>0</v>
      </c>
      <c r="AD233" s="332"/>
      <c r="AE233" s="333" t="str">
        <f t="shared" si="332"/>
        <v>0</v>
      </c>
      <c r="AF233" s="334" t="str">
        <f t="shared" si="337"/>
        <v/>
      </c>
      <c r="AG233" s="334" t="str">
        <f t="shared" si="334"/>
        <v/>
      </c>
      <c r="AH233" s="335"/>
      <c r="AI233" s="334" t="str">
        <f t="shared" si="335"/>
        <v/>
      </c>
      <c r="AJ233" s="334" t="str">
        <f>IFERROR(VLOOKUP((CONCATENATE(AG233,AI233)),Listados!$U$3:$V$11,2,FALSE),"")</f>
        <v/>
      </c>
      <c r="AK233" s="334" t="str">
        <f t="shared" si="336"/>
        <v/>
      </c>
      <c r="AL233" s="558"/>
      <c r="AM233" s="558"/>
      <c r="AN233" s="558"/>
      <c r="AO233" s="558"/>
      <c r="AP233" s="567"/>
      <c r="AQ233" s="567"/>
      <c r="AR233" s="565"/>
      <c r="AS233" s="565"/>
      <c r="AT233" s="565"/>
      <c r="AU233" s="565"/>
      <c r="AV233" s="336"/>
      <c r="AW233" s="336"/>
      <c r="AX233" s="336"/>
      <c r="AY233" s="336"/>
      <c r="AZ233" s="336"/>
      <c r="BA233" s="336"/>
      <c r="BB233" s="790"/>
      <c r="BC233" s="790"/>
      <c r="BD233" s="790"/>
      <c r="BE233" s="848"/>
      <c r="BF233" s="779"/>
      <c r="BG233" s="779"/>
    </row>
    <row r="234" spans="1:59">
      <c r="A234" s="693"/>
      <c r="B234" s="639"/>
      <c r="C234" s="661"/>
      <c r="D234" s="572"/>
      <c r="E234" s="572"/>
      <c r="F234" s="572"/>
      <c r="G234" s="329"/>
      <c r="H234" s="337"/>
      <c r="I234" s="337"/>
      <c r="J234" s="572"/>
      <c r="K234" s="565"/>
      <c r="L234" s="573"/>
      <c r="M234" s="565"/>
      <c r="N234" s="565"/>
      <c r="O234" s="347"/>
      <c r="P234" s="338"/>
      <c r="Q234" s="348"/>
      <c r="R234" s="332"/>
      <c r="S234" s="333" t="str">
        <f t="shared" si="326"/>
        <v>0</v>
      </c>
      <c r="T234" s="332"/>
      <c r="U234" s="333" t="str">
        <f t="shared" si="327"/>
        <v>0</v>
      </c>
      <c r="V234" s="332"/>
      <c r="W234" s="333" t="str">
        <f t="shared" si="328"/>
        <v>0</v>
      </c>
      <c r="X234" s="332"/>
      <c r="Y234" s="333" t="str">
        <f t="shared" si="329"/>
        <v>0</v>
      </c>
      <c r="Z234" s="332"/>
      <c r="AA234" s="333" t="str">
        <f t="shared" si="330"/>
        <v>0</v>
      </c>
      <c r="AB234" s="332"/>
      <c r="AC234" s="333" t="str">
        <f t="shared" si="331"/>
        <v>0</v>
      </c>
      <c r="AD234" s="332"/>
      <c r="AE234" s="333" t="str">
        <f t="shared" si="332"/>
        <v>0</v>
      </c>
      <c r="AF234" s="334" t="str">
        <f t="shared" si="337"/>
        <v/>
      </c>
      <c r="AG234" s="334" t="str">
        <f t="shared" si="334"/>
        <v/>
      </c>
      <c r="AH234" s="335"/>
      <c r="AI234" s="334" t="str">
        <f t="shared" si="335"/>
        <v/>
      </c>
      <c r="AJ234" s="334" t="str">
        <f>IFERROR(VLOOKUP((CONCATENATE(AG234,AI234)),Listados!$U$3:$V$11,2,FALSE),"")</f>
        <v/>
      </c>
      <c r="AK234" s="334" t="str">
        <f t="shared" si="336"/>
        <v/>
      </c>
      <c r="AL234" s="558"/>
      <c r="AM234" s="558"/>
      <c r="AN234" s="558"/>
      <c r="AO234" s="558"/>
      <c r="AP234" s="567"/>
      <c r="AQ234" s="567"/>
      <c r="AR234" s="565"/>
      <c r="AS234" s="565"/>
      <c r="AT234" s="565"/>
      <c r="AU234" s="565"/>
      <c r="AV234" s="336"/>
      <c r="AW234" s="336"/>
      <c r="AX234" s="339"/>
      <c r="AY234" s="339"/>
      <c r="AZ234" s="336"/>
      <c r="BA234" s="336"/>
      <c r="BB234" s="790"/>
      <c r="BC234" s="790"/>
      <c r="BD234" s="790"/>
      <c r="BE234" s="848"/>
      <c r="BF234" s="779"/>
      <c r="BG234" s="779"/>
    </row>
    <row r="235" spans="1:59">
      <c r="A235" s="693"/>
      <c r="B235" s="639"/>
      <c r="C235" s="661"/>
      <c r="D235" s="572"/>
      <c r="E235" s="572"/>
      <c r="F235" s="572"/>
      <c r="G235" s="329"/>
      <c r="H235" s="337"/>
      <c r="I235" s="337"/>
      <c r="J235" s="572"/>
      <c r="K235" s="565"/>
      <c r="L235" s="573"/>
      <c r="M235" s="565"/>
      <c r="N235" s="565"/>
      <c r="O235" s="347"/>
      <c r="P235" s="338"/>
      <c r="Q235" s="348"/>
      <c r="R235" s="332"/>
      <c r="S235" s="333" t="str">
        <f t="shared" si="326"/>
        <v>0</v>
      </c>
      <c r="T235" s="332"/>
      <c r="U235" s="333" t="str">
        <f t="shared" si="327"/>
        <v>0</v>
      </c>
      <c r="V235" s="332"/>
      <c r="W235" s="333" t="str">
        <f t="shared" si="328"/>
        <v>0</v>
      </c>
      <c r="X235" s="332"/>
      <c r="Y235" s="333" t="str">
        <f t="shared" si="329"/>
        <v>0</v>
      </c>
      <c r="Z235" s="332"/>
      <c r="AA235" s="333" t="str">
        <f t="shared" si="330"/>
        <v>0</v>
      </c>
      <c r="AB235" s="332"/>
      <c r="AC235" s="333" t="str">
        <f t="shared" si="331"/>
        <v>0</v>
      </c>
      <c r="AD235" s="332"/>
      <c r="AE235" s="333" t="str">
        <f t="shared" si="332"/>
        <v>0</v>
      </c>
      <c r="AF235" s="334" t="str">
        <f t="shared" si="337"/>
        <v/>
      </c>
      <c r="AG235" s="334" t="str">
        <f t="shared" si="334"/>
        <v/>
      </c>
      <c r="AH235" s="335"/>
      <c r="AI235" s="334" t="str">
        <f t="shared" si="335"/>
        <v/>
      </c>
      <c r="AJ235" s="334" t="str">
        <f>IFERROR(VLOOKUP((CONCATENATE(AG235,AI235)),Listados!$U$3:$V$11,2,FALSE),"")</f>
        <v/>
      </c>
      <c r="AK235" s="334" t="str">
        <f t="shared" si="336"/>
        <v/>
      </c>
      <c r="AL235" s="558"/>
      <c r="AM235" s="558"/>
      <c r="AN235" s="558"/>
      <c r="AO235" s="558"/>
      <c r="AP235" s="564"/>
      <c r="AQ235" s="564"/>
      <c r="AR235" s="565"/>
      <c r="AS235" s="565"/>
      <c r="AT235" s="565"/>
      <c r="AU235" s="565"/>
      <c r="AV235" s="336"/>
      <c r="AW235" s="336"/>
      <c r="AX235" s="339"/>
      <c r="AY235" s="339"/>
      <c r="AZ235" s="336"/>
      <c r="BA235" s="336"/>
      <c r="BB235" s="825"/>
      <c r="BC235" s="825"/>
      <c r="BD235" s="825"/>
      <c r="BE235" s="849"/>
      <c r="BF235" s="780"/>
      <c r="BG235" s="780"/>
    </row>
  </sheetData>
  <sheetProtection selectLockedCells="1"/>
  <autoFilter ref="A6:AU235"/>
  <mergeCells count="1618">
    <mergeCell ref="AX127:AX128"/>
    <mergeCell ref="AY127:AY128"/>
    <mergeCell ref="AZ127:AZ128"/>
    <mergeCell ref="BA127:BA128"/>
    <mergeCell ref="Y14:Y15"/>
    <mergeCell ref="Z14:Z15"/>
    <mergeCell ref="AA14:AA15"/>
    <mergeCell ref="AB14:AB15"/>
    <mergeCell ref="AC14:AC15"/>
    <mergeCell ref="AD14:AD15"/>
    <mergeCell ref="AE14:AE15"/>
    <mergeCell ref="AF14:AF15"/>
    <mergeCell ref="AG14:AG15"/>
    <mergeCell ref="AS43:AS46"/>
    <mergeCell ref="AT43:AT46"/>
    <mergeCell ref="AU43:AU46"/>
    <mergeCell ref="AM47:AM50"/>
    <mergeCell ref="AN47:AN50"/>
    <mergeCell ref="AO47:AO50"/>
    <mergeCell ref="AR47:AR50"/>
    <mergeCell ref="AS47:AS50"/>
    <mergeCell ref="AT47:AT50"/>
    <mergeCell ref="AU47:AU50"/>
    <mergeCell ref="AP43:AP46"/>
    <mergeCell ref="AP47:AP50"/>
    <mergeCell ref="AQ43:AQ46"/>
    <mergeCell ref="AV123:AV126"/>
    <mergeCell ref="AW123:AW126"/>
    <mergeCell ref="AX123:AX126"/>
    <mergeCell ref="AY123:AY126"/>
    <mergeCell ref="AT23:AT26"/>
    <mergeCell ref="AU23:AU26"/>
    <mergeCell ref="AZ123:AZ126"/>
    <mergeCell ref="BA123:BA126"/>
    <mergeCell ref="AR16:AR22"/>
    <mergeCell ref="AS16:AS22"/>
    <mergeCell ref="AT16:AT22"/>
    <mergeCell ref="AU16:AU22"/>
    <mergeCell ref="AM23:AM26"/>
    <mergeCell ref="AU39:AU42"/>
    <mergeCell ref="AP35:AP38"/>
    <mergeCell ref="AP39:AP42"/>
    <mergeCell ref="AQ35:AQ38"/>
    <mergeCell ref="AQ39:AQ42"/>
    <mergeCell ref="AM43:AM46"/>
    <mergeCell ref="AN43:AN46"/>
    <mergeCell ref="AO43:AO46"/>
    <mergeCell ref="AR43:AR46"/>
    <mergeCell ref="AM39:AM42"/>
    <mergeCell ref="AT39:AT42"/>
    <mergeCell ref="AQ47:AQ50"/>
    <mergeCell ref="AR35:AR38"/>
    <mergeCell ref="AS35:AS38"/>
    <mergeCell ref="AT35:AT38"/>
    <mergeCell ref="AU35:AU38"/>
    <mergeCell ref="AS59:AS62"/>
    <mergeCell ref="AT59:AT62"/>
    <mergeCell ref="AU59:AU62"/>
    <mergeCell ref="AM63:AM66"/>
    <mergeCell ref="AN63:AN66"/>
    <mergeCell ref="AR51:AR54"/>
    <mergeCell ref="AS51:AS54"/>
    <mergeCell ref="AM67:AM70"/>
    <mergeCell ref="AN67:AN70"/>
    <mergeCell ref="W11:W12"/>
    <mergeCell ref="X11:X12"/>
    <mergeCell ref="Y11:Y12"/>
    <mergeCell ref="Z11:Z12"/>
    <mergeCell ref="AA11:AA12"/>
    <mergeCell ref="AB11:AB12"/>
    <mergeCell ref="AC11:AC12"/>
    <mergeCell ref="AD11:AD12"/>
    <mergeCell ref="AE11:AE12"/>
    <mergeCell ref="AF11:AF12"/>
    <mergeCell ref="AG11:AG12"/>
    <mergeCell ref="T14:T15"/>
    <mergeCell ref="U14:U15"/>
    <mergeCell ref="V14:V15"/>
    <mergeCell ref="AH11:AH12"/>
    <mergeCell ref="AR39:AR42"/>
    <mergeCell ref="AS39:AS42"/>
    <mergeCell ref="AH14:AH15"/>
    <mergeCell ref="AR11:AR15"/>
    <mergeCell ref="AS11:AS15"/>
    <mergeCell ref="AN39:AN42"/>
    <mergeCell ref="AO39:AO42"/>
    <mergeCell ref="AP23:AP26"/>
    <mergeCell ref="AQ23:AQ26"/>
    <mergeCell ref="AR27:AR30"/>
    <mergeCell ref="AS27:AS30"/>
    <mergeCell ref="AP27:AP30"/>
    <mergeCell ref="AP31:AP34"/>
    <mergeCell ref="AQ27:AQ30"/>
    <mergeCell ref="AQ31:AQ34"/>
    <mergeCell ref="AK32:AK34"/>
    <mergeCell ref="AH28:AH29"/>
    <mergeCell ref="AT11:AT15"/>
    <mergeCell ref="AU11:AU15"/>
    <mergeCell ref="AV127:AV128"/>
    <mergeCell ref="AW127:AW128"/>
    <mergeCell ref="AN23:AN26"/>
    <mergeCell ref="AO23:AO26"/>
    <mergeCell ref="AR23:AR26"/>
    <mergeCell ref="AS23:AS26"/>
    <mergeCell ref="AI11:AI12"/>
    <mergeCell ref="AJ11:AJ12"/>
    <mergeCell ref="AK11:AK12"/>
    <mergeCell ref="AI14:AI15"/>
    <mergeCell ref="AJ14:AJ15"/>
    <mergeCell ref="AK14:AK15"/>
    <mergeCell ref="AT27:AT30"/>
    <mergeCell ref="AU27:AU30"/>
    <mergeCell ref="AM35:AM38"/>
    <mergeCell ref="AN35:AN38"/>
    <mergeCell ref="AO35:AO38"/>
    <mergeCell ref="AT51:AT54"/>
    <mergeCell ref="AU51:AU54"/>
    <mergeCell ref="AM55:AM58"/>
    <mergeCell ref="AN55:AN58"/>
    <mergeCell ref="AO55:AO58"/>
    <mergeCell ref="AR55:AR58"/>
    <mergeCell ref="AS55:AS58"/>
    <mergeCell ref="AT55:AT58"/>
    <mergeCell ref="AU55:AU58"/>
    <mergeCell ref="AP51:AP54"/>
    <mergeCell ref="AP55:AP58"/>
    <mergeCell ref="AQ51:AQ54"/>
    <mergeCell ref="AQ55:AQ58"/>
    <mergeCell ref="BB216:BB219"/>
    <mergeCell ref="BC216:BC219"/>
    <mergeCell ref="BD216:BD219"/>
    <mergeCell ref="BE216:BE219"/>
    <mergeCell ref="BF216:BF219"/>
    <mergeCell ref="BG216:BG219"/>
    <mergeCell ref="BB232:BB235"/>
    <mergeCell ref="BC232:BC235"/>
    <mergeCell ref="BD232:BD235"/>
    <mergeCell ref="BE232:BE235"/>
    <mergeCell ref="BF232:BF235"/>
    <mergeCell ref="BG232:BG235"/>
    <mergeCell ref="BB220:BB223"/>
    <mergeCell ref="BC220:BC223"/>
    <mergeCell ref="BD220:BD223"/>
    <mergeCell ref="BE220:BE223"/>
    <mergeCell ref="BF220:BF223"/>
    <mergeCell ref="BG220:BG223"/>
    <mergeCell ref="BB224:BB227"/>
    <mergeCell ref="BC224:BC227"/>
    <mergeCell ref="BD224:BD227"/>
    <mergeCell ref="BE224:BE227"/>
    <mergeCell ref="BF224:BF227"/>
    <mergeCell ref="BG224:BG227"/>
    <mergeCell ref="BB228:BB231"/>
    <mergeCell ref="BC228:BC231"/>
    <mergeCell ref="BD228:BD231"/>
    <mergeCell ref="BE228:BE231"/>
    <mergeCell ref="BF228:BF231"/>
    <mergeCell ref="BG228:BG231"/>
    <mergeCell ref="BB204:BB207"/>
    <mergeCell ref="BC204:BC207"/>
    <mergeCell ref="BD204:BD207"/>
    <mergeCell ref="BE204:BE207"/>
    <mergeCell ref="BF204:BF207"/>
    <mergeCell ref="BG204:BG207"/>
    <mergeCell ref="BB208:BB211"/>
    <mergeCell ref="BC208:BC211"/>
    <mergeCell ref="BD208:BD211"/>
    <mergeCell ref="BE208:BE211"/>
    <mergeCell ref="BF208:BF211"/>
    <mergeCell ref="BG208:BG211"/>
    <mergeCell ref="BB212:BB215"/>
    <mergeCell ref="BC212:BC215"/>
    <mergeCell ref="BD212:BD215"/>
    <mergeCell ref="BE212:BE215"/>
    <mergeCell ref="BF212:BF215"/>
    <mergeCell ref="BG212:BG215"/>
    <mergeCell ref="BB192:BB195"/>
    <mergeCell ref="BC192:BC195"/>
    <mergeCell ref="BD192:BD195"/>
    <mergeCell ref="BE192:BE195"/>
    <mergeCell ref="BF192:BF195"/>
    <mergeCell ref="BG192:BG195"/>
    <mergeCell ref="BB196:BB199"/>
    <mergeCell ref="BC196:BC199"/>
    <mergeCell ref="BD196:BD199"/>
    <mergeCell ref="BE196:BE199"/>
    <mergeCell ref="BF196:BF199"/>
    <mergeCell ref="BG196:BG199"/>
    <mergeCell ref="BB200:BB203"/>
    <mergeCell ref="BC200:BC203"/>
    <mergeCell ref="BD200:BD203"/>
    <mergeCell ref="BE200:BE203"/>
    <mergeCell ref="BF200:BF203"/>
    <mergeCell ref="BG200:BG203"/>
    <mergeCell ref="BC171:BC174"/>
    <mergeCell ref="BD171:BD174"/>
    <mergeCell ref="BB175:BB178"/>
    <mergeCell ref="BD175:BD178"/>
    <mergeCell ref="BB179:BB182"/>
    <mergeCell ref="BC179:BC182"/>
    <mergeCell ref="BD179:BD182"/>
    <mergeCell ref="BE179:BE182"/>
    <mergeCell ref="BF179:BF182"/>
    <mergeCell ref="BG179:BG182"/>
    <mergeCell ref="BB188:BB191"/>
    <mergeCell ref="BC188:BC191"/>
    <mergeCell ref="BD188:BD191"/>
    <mergeCell ref="BE188:BE191"/>
    <mergeCell ref="BF188:BF191"/>
    <mergeCell ref="BG188:BG191"/>
    <mergeCell ref="BG183:BG187"/>
    <mergeCell ref="BF183:BF187"/>
    <mergeCell ref="BE183:BE187"/>
    <mergeCell ref="BD183:BD187"/>
    <mergeCell ref="BC183:BC187"/>
    <mergeCell ref="BB183:BB187"/>
    <mergeCell ref="BB159:BB162"/>
    <mergeCell ref="BD159:BD162"/>
    <mergeCell ref="BD163:BD166"/>
    <mergeCell ref="BD167:BD170"/>
    <mergeCell ref="BB135:BB138"/>
    <mergeCell ref="BC135:BC138"/>
    <mergeCell ref="BD135:BD138"/>
    <mergeCell ref="BC139:BC142"/>
    <mergeCell ref="BD139:BD142"/>
    <mergeCell ref="BC143:BC146"/>
    <mergeCell ref="BD143:BD146"/>
    <mergeCell ref="BB147:BB150"/>
    <mergeCell ref="BC147:BC150"/>
    <mergeCell ref="BD147:BD150"/>
    <mergeCell ref="BC151:BC154"/>
    <mergeCell ref="BD151:BD154"/>
    <mergeCell ref="BD155:BD158"/>
    <mergeCell ref="BC115:BC118"/>
    <mergeCell ref="BD115:BD118"/>
    <mergeCell ref="BB119:BB122"/>
    <mergeCell ref="BC119:BC122"/>
    <mergeCell ref="BD119:BD122"/>
    <mergeCell ref="BB123:BB126"/>
    <mergeCell ref="BC123:BC126"/>
    <mergeCell ref="BD123:BD126"/>
    <mergeCell ref="BB127:BB130"/>
    <mergeCell ref="BC127:BC130"/>
    <mergeCell ref="BD127:BD130"/>
    <mergeCell ref="BB131:BB134"/>
    <mergeCell ref="BC131:BC134"/>
    <mergeCell ref="BD131:BD134"/>
    <mergeCell ref="BB87:BB90"/>
    <mergeCell ref="BC87:BC90"/>
    <mergeCell ref="BD87:BD90"/>
    <mergeCell ref="BB91:BB94"/>
    <mergeCell ref="BC91:BC94"/>
    <mergeCell ref="BD91:BD94"/>
    <mergeCell ref="BB95:BB98"/>
    <mergeCell ref="BC95:BC98"/>
    <mergeCell ref="BD95:BD98"/>
    <mergeCell ref="BC99:BC102"/>
    <mergeCell ref="BD99:BD102"/>
    <mergeCell ref="BC103:BC106"/>
    <mergeCell ref="BD103:BD106"/>
    <mergeCell ref="BB107:BB110"/>
    <mergeCell ref="BC107:BC110"/>
    <mergeCell ref="BD107:BD110"/>
    <mergeCell ref="BB67:BB70"/>
    <mergeCell ref="BC67:BC70"/>
    <mergeCell ref="BD67:BD70"/>
    <mergeCell ref="BB71:BB74"/>
    <mergeCell ref="BC71:BC74"/>
    <mergeCell ref="BD71:BD74"/>
    <mergeCell ref="BC75:BC78"/>
    <mergeCell ref="BD75:BD78"/>
    <mergeCell ref="BC79:BC82"/>
    <mergeCell ref="BD79:BD82"/>
    <mergeCell ref="BC83:BC86"/>
    <mergeCell ref="BD83:BD86"/>
    <mergeCell ref="BC175:BC178"/>
    <mergeCell ref="BD39:BD42"/>
    <mergeCell ref="BB43:BB46"/>
    <mergeCell ref="BC43:BC46"/>
    <mergeCell ref="BD43:BD46"/>
    <mergeCell ref="BB47:BB50"/>
    <mergeCell ref="BC47:BC50"/>
    <mergeCell ref="BD47:BD50"/>
    <mergeCell ref="BB51:BB54"/>
    <mergeCell ref="BC51:BC54"/>
    <mergeCell ref="BD51:BD54"/>
    <mergeCell ref="BD55:BD58"/>
    <mergeCell ref="BB59:BB62"/>
    <mergeCell ref="BC59:BC62"/>
    <mergeCell ref="BD59:BD62"/>
    <mergeCell ref="BB63:BB66"/>
    <mergeCell ref="BC63:BC66"/>
    <mergeCell ref="BD63:BD66"/>
    <mergeCell ref="BD111:BD114"/>
    <mergeCell ref="BB115:BB118"/>
    <mergeCell ref="BE167:BE170"/>
    <mergeCell ref="BF167:BF170"/>
    <mergeCell ref="BG167:BG170"/>
    <mergeCell ref="BE171:BE174"/>
    <mergeCell ref="BF171:BF174"/>
    <mergeCell ref="BG171:BG174"/>
    <mergeCell ref="BE175:BE178"/>
    <mergeCell ref="BF175:BF178"/>
    <mergeCell ref="BG175:BG178"/>
    <mergeCell ref="BB7:BB10"/>
    <mergeCell ref="BC7:BC10"/>
    <mergeCell ref="BD7:BD10"/>
    <mergeCell ref="BB11:BB15"/>
    <mergeCell ref="BC11:BC15"/>
    <mergeCell ref="BD11:BD15"/>
    <mergeCell ref="BD16:BD22"/>
    <mergeCell ref="BB23:BB26"/>
    <mergeCell ref="BC23:BC26"/>
    <mergeCell ref="BD23:BD26"/>
    <mergeCell ref="BB27:BB30"/>
    <mergeCell ref="BC27:BC30"/>
    <mergeCell ref="BD27:BD30"/>
    <mergeCell ref="BB31:BB34"/>
    <mergeCell ref="BC31:BC34"/>
    <mergeCell ref="BD31:BD34"/>
    <mergeCell ref="BB35:BB38"/>
    <mergeCell ref="BC35:BC38"/>
    <mergeCell ref="BD35:BD38"/>
    <mergeCell ref="BB39:BB42"/>
    <mergeCell ref="BC39:BC42"/>
    <mergeCell ref="BE155:BE158"/>
    <mergeCell ref="BF155:BF158"/>
    <mergeCell ref="BG155:BG158"/>
    <mergeCell ref="BE159:BE162"/>
    <mergeCell ref="BF159:BF162"/>
    <mergeCell ref="BG159:BG162"/>
    <mergeCell ref="BE163:BE166"/>
    <mergeCell ref="BF163:BF166"/>
    <mergeCell ref="BG163:BG166"/>
    <mergeCell ref="BE131:BE134"/>
    <mergeCell ref="BF131:BF134"/>
    <mergeCell ref="BG131:BG134"/>
    <mergeCell ref="BE135:BE138"/>
    <mergeCell ref="BF135:BF138"/>
    <mergeCell ref="BG135:BG138"/>
    <mergeCell ref="BE139:BE142"/>
    <mergeCell ref="BF139:BF142"/>
    <mergeCell ref="BG139:BG142"/>
    <mergeCell ref="BE143:BE146"/>
    <mergeCell ref="BF143:BF146"/>
    <mergeCell ref="BG143:BG146"/>
    <mergeCell ref="BE147:BE150"/>
    <mergeCell ref="BF147:BF150"/>
    <mergeCell ref="BG147:BG150"/>
    <mergeCell ref="BE151:BE154"/>
    <mergeCell ref="BF151:BF154"/>
    <mergeCell ref="BG151:BG154"/>
    <mergeCell ref="BE107:BE110"/>
    <mergeCell ref="BF107:BF110"/>
    <mergeCell ref="BG107:BG110"/>
    <mergeCell ref="BE111:BE114"/>
    <mergeCell ref="BF111:BF114"/>
    <mergeCell ref="BG111:BG114"/>
    <mergeCell ref="BE115:BE118"/>
    <mergeCell ref="BF115:BF118"/>
    <mergeCell ref="BG115:BG118"/>
    <mergeCell ref="BE119:BE122"/>
    <mergeCell ref="BF119:BF122"/>
    <mergeCell ref="BG119:BG122"/>
    <mergeCell ref="BE123:BE126"/>
    <mergeCell ref="BF123:BF126"/>
    <mergeCell ref="BG123:BG126"/>
    <mergeCell ref="BE127:BE130"/>
    <mergeCell ref="BF127:BF130"/>
    <mergeCell ref="BG127:BG130"/>
    <mergeCell ref="BE87:BE90"/>
    <mergeCell ref="BF87:BF90"/>
    <mergeCell ref="BG87:BG90"/>
    <mergeCell ref="BE91:BE94"/>
    <mergeCell ref="BF91:BF94"/>
    <mergeCell ref="BG91:BG94"/>
    <mergeCell ref="BE95:BE98"/>
    <mergeCell ref="BF95:BF98"/>
    <mergeCell ref="BG95:BG98"/>
    <mergeCell ref="BE99:BE102"/>
    <mergeCell ref="BF99:BF102"/>
    <mergeCell ref="BG99:BG102"/>
    <mergeCell ref="BE103:BE106"/>
    <mergeCell ref="BF103:BF106"/>
    <mergeCell ref="BG103:BG106"/>
    <mergeCell ref="BE63:BE66"/>
    <mergeCell ref="BF63:BF66"/>
    <mergeCell ref="BG63:BG66"/>
    <mergeCell ref="BE67:BE70"/>
    <mergeCell ref="BF67:BF70"/>
    <mergeCell ref="BG67:BG70"/>
    <mergeCell ref="BE71:BE74"/>
    <mergeCell ref="BF71:BF74"/>
    <mergeCell ref="BG71:BG74"/>
    <mergeCell ref="BE75:BE78"/>
    <mergeCell ref="BF75:BF78"/>
    <mergeCell ref="BG75:BG78"/>
    <mergeCell ref="BE79:BE82"/>
    <mergeCell ref="BF79:BF82"/>
    <mergeCell ref="BG79:BG82"/>
    <mergeCell ref="BE83:BE86"/>
    <mergeCell ref="BF83:BF86"/>
    <mergeCell ref="BG83:BG86"/>
    <mergeCell ref="BE39:BE42"/>
    <mergeCell ref="BF39:BF42"/>
    <mergeCell ref="BG39:BG42"/>
    <mergeCell ref="BE43:BE46"/>
    <mergeCell ref="BF43:BF46"/>
    <mergeCell ref="BG43:BG46"/>
    <mergeCell ref="BE47:BE50"/>
    <mergeCell ref="BF47:BF50"/>
    <mergeCell ref="BG47:BG50"/>
    <mergeCell ref="BE51:BE54"/>
    <mergeCell ref="BF51:BF54"/>
    <mergeCell ref="BG51:BG54"/>
    <mergeCell ref="BE55:BE58"/>
    <mergeCell ref="BF55:BF58"/>
    <mergeCell ref="BG55:BG58"/>
    <mergeCell ref="BE59:BE62"/>
    <mergeCell ref="BF59:BF62"/>
    <mergeCell ref="BG59:BG62"/>
    <mergeCell ref="BG11:BG15"/>
    <mergeCell ref="BE16:BE22"/>
    <mergeCell ref="BF16:BF22"/>
    <mergeCell ref="BG16:BG22"/>
    <mergeCell ref="BE23:BE26"/>
    <mergeCell ref="BF23:BF26"/>
    <mergeCell ref="BG23:BG26"/>
    <mergeCell ref="BE27:BE30"/>
    <mergeCell ref="BF27:BF30"/>
    <mergeCell ref="BG27:BG30"/>
    <mergeCell ref="F228:F231"/>
    <mergeCell ref="AL228:AL231"/>
    <mergeCell ref="M220:M223"/>
    <mergeCell ref="N220:N223"/>
    <mergeCell ref="F212:F215"/>
    <mergeCell ref="AL212:AL215"/>
    <mergeCell ref="F204:F207"/>
    <mergeCell ref="AL204:AL207"/>
    <mergeCell ref="F196:F199"/>
    <mergeCell ref="AL196:AL199"/>
    <mergeCell ref="F188:F191"/>
    <mergeCell ref="AL188:AL191"/>
    <mergeCell ref="F179:F182"/>
    <mergeCell ref="AL179:AL182"/>
    <mergeCell ref="F171:F174"/>
    <mergeCell ref="AL171:AL174"/>
    <mergeCell ref="BE31:BE34"/>
    <mergeCell ref="BF31:BF34"/>
    <mergeCell ref="BG31:BG34"/>
    <mergeCell ref="BE35:BE38"/>
    <mergeCell ref="BF35:BF38"/>
    <mergeCell ref="BG35:BG38"/>
    <mergeCell ref="A232:A235"/>
    <mergeCell ref="B232:B235"/>
    <mergeCell ref="C232:C235"/>
    <mergeCell ref="D232:D235"/>
    <mergeCell ref="E232:E235"/>
    <mergeCell ref="F232:F235"/>
    <mergeCell ref="AL232:AL235"/>
    <mergeCell ref="A228:A231"/>
    <mergeCell ref="B228:B231"/>
    <mergeCell ref="C228:C231"/>
    <mergeCell ref="D228:D231"/>
    <mergeCell ref="E228:E231"/>
    <mergeCell ref="J228:J231"/>
    <mergeCell ref="K228:K231"/>
    <mergeCell ref="L228:L231"/>
    <mergeCell ref="F220:F223"/>
    <mergeCell ref="AL220:AL223"/>
    <mergeCell ref="A224:A227"/>
    <mergeCell ref="B224:B227"/>
    <mergeCell ref="C224:C227"/>
    <mergeCell ref="D224:D227"/>
    <mergeCell ref="E224:E227"/>
    <mergeCell ref="F224:F227"/>
    <mergeCell ref="AL224:AL227"/>
    <mergeCell ref="A220:A223"/>
    <mergeCell ref="B220:B223"/>
    <mergeCell ref="C220:C223"/>
    <mergeCell ref="D220:D223"/>
    <mergeCell ref="E220:E223"/>
    <mergeCell ref="J220:J223"/>
    <mergeCell ref="K220:K223"/>
    <mergeCell ref="L220:L223"/>
    <mergeCell ref="A216:A219"/>
    <mergeCell ref="B216:B219"/>
    <mergeCell ref="C216:C219"/>
    <mergeCell ref="D216:D219"/>
    <mergeCell ref="E216:E219"/>
    <mergeCell ref="F216:F219"/>
    <mergeCell ref="AL216:AL219"/>
    <mergeCell ref="A212:A215"/>
    <mergeCell ref="B212:B215"/>
    <mergeCell ref="C212:C215"/>
    <mergeCell ref="D212:D215"/>
    <mergeCell ref="E212:E215"/>
    <mergeCell ref="J212:J215"/>
    <mergeCell ref="K212:K215"/>
    <mergeCell ref="L212:L215"/>
    <mergeCell ref="M212:M215"/>
    <mergeCell ref="N212:N215"/>
    <mergeCell ref="A208:A211"/>
    <mergeCell ref="B208:B211"/>
    <mergeCell ref="C208:C211"/>
    <mergeCell ref="D208:D211"/>
    <mergeCell ref="E208:E211"/>
    <mergeCell ref="F208:F211"/>
    <mergeCell ref="AL208:AL211"/>
    <mergeCell ref="A204:A207"/>
    <mergeCell ref="B204:B207"/>
    <mergeCell ref="C204:C207"/>
    <mergeCell ref="D204:D207"/>
    <mergeCell ref="E204:E207"/>
    <mergeCell ref="J204:J207"/>
    <mergeCell ref="K204:K207"/>
    <mergeCell ref="L204:L207"/>
    <mergeCell ref="M204:M207"/>
    <mergeCell ref="N204:N207"/>
    <mergeCell ref="A200:A203"/>
    <mergeCell ref="B200:B203"/>
    <mergeCell ref="C200:C203"/>
    <mergeCell ref="D200:D203"/>
    <mergeCell ref="E200:E203"/>
    <mergeCell ref="F200:F203"/>
    <mergeCell ref="AL200:AL203"/>
    <mergeCell ref="A196:A199"/>
    <mergeCell ref="B196:B199"/>
    <mergeCell ref="C196:C199"/>
    <mergeCell ref="D196:D199"/>
    <mergeCell ref="E196:E199"/>
    <mergeCell ref="J196:J199"/>
    <mergeCell ref="K196:K199"/>
    <mergeCell ref="L196:L199"/>
    <mergeCell ref="M196:M199"/>
    <mergeCell ref="N196:N199"/>
    <mergeCell ref="A179:A182"/>
    <mergeCell ref="B179:B182"/>
    <mergeCell ref="C179:C182"/>
    <mergeCell ref="D179:D182"/>
    <mergeCell ref="E179:E182"/>
    <mergeCell ref="J179:J182"/>
    <mergeCell ref="K179:K182"/>
    <mergeCell ref="L179:L182"/>
    <mergeCell ref="M179:M182"/>
    <mergeCell ref="N179:N182"/>
    <mergeCell ref="A183:A187"/>
    <mergeCell ref="B183:B187"/>
    <mergeCell ref="C183:C187"/>
    <mergeCell ref="D183:D187"/>
    <mergeCell ref="E183:E187"/>
    <mergeCell ref="F183:F187"/>
    <mergeCell ref="A192:A195"/>
    <mergeCell ref="B192:B195"/>
    <mergeCell ref="C192:C195"/>
    <mergeCell ref="D192:D195"/>
    <mergeCell ref="E192:E195"/>
    <mergeCell ref="F192:F195"/>
    <mergeCell ref="A188:A191"/>
    <mergeCell ref="B188:B191"/>
    <mergeCell ref="C188:C191"/>
    <mergeCell ref="D188:D191"/>
    <mergeCell ref="E188:E191"/>
    <mergeCell ref="J188:J191"/>
    <mergeCell ref="K188:K191"/>
    <mergeCell ref="L188:L191"/>
    <mergeCell ref="M188:M191"/>
    <mergeCell ref="N188:N191"/>
    <mergeCell ref="A175:A178"/>
    <mergeCell ref="B175:B178"/>
    <mergeCell ref="C175:C178"/>
    <mergeCell ref="D175:D178"/>
    <mergeCell ref="E175:E178"/>
    <mergeCell ref="F175:F178"/>
    <mergeCell ref="AL175:AL178"/>
    <mergeCell ref="A171:A174"/>
    <mergeCell ref="B171:B174"/>
    <mergeCell ref="C171:C174"/>
    <mergeCell ref="D171:D174"/>
    <mergeCell ref="E171:E174"/>
    <mergeCell ref="J171:J174"/>
    <mergeCell ref="K171:K174"/>
    <mergeCell ref="L171:L174"/>
    <mergeCell ref="M171:M174"/>
    <mergeCell ref="N171:N174"/>
    <mergeCell ref="F163:F166"/>
    <mergeCell ref="AL163:AL166"/>
    <mergeCell ref="A167:A170"/>
    <mergeCell ref="B167:B170"/>
    <mergeCell ref="C167:C170"/>
    <mergeCell ref="D167:D170"/>
    <mergeCell ref="E167:E170"/>
    <mergeCell ref="F167:F170"/>
    <mergeCell ref="AL167:AL170"/>
    <mergeCell ref="A163:A166"/>
    <mergeCell ref="B163:B166"/>
    <mergeCell ref="C163:C166"/>
    <mergeCell ref="D163:D166"/>
    <mergeCell ref="E163:E166"/>
    <mergeCell ref="J163:J166"/>
    <mergeCell ref="K163:K166"/>
    <mergeCell ref="L163:L166"/>
    <mergeCell ref="M163:M166"/>
    <mergeCell ref="N163:N166"/>
    <mergeCell ref="G164:G165"/>
    <mergeCell ref="I164:I165"/>
    <mergeCell ref="H164:H165"/>
    <mergeCell ref="F159:F162"/>
    <mergeCell ref="AL159:AL162"/>
    <mergeCell ref="A159:A162"/>
    <mergeCell ref="B159:B162"/>
    <mergeCell ref="C159:C162"/>
    <mergeCell ref="D159:D162"/>
    <mergeCell ref="E159:E162"/>
    <mergeCell ref="J159:J162"/>
    <mergeCell ref="K159:K162"/>
    <mergeCell ref="L159:L162"/>
    <mergeCell ref="M159:M162"/>
    <mergeCell ref="N159:N162"/>
    <mergeCell ref="F151:F154"/>
    <mergeCell ref="AL151:AL154"/>
    <mergeCell ref="A155:A158"/>
    <mergeCell ref="B155:B158"/>
    <mergeCell ref="C155:C158"/>
    <mergeCell ref="D155:D158"/>
    <mergeCell ref="E155:E158"/>
    <mergeCell ref="F155:F158"/>
    <mergeCell ref="AL155:AL158"/>
    <mergeCell ref="A151:A154"/>
    <mergeCell ref="B151:B154"/>
    <mergeCell ref="C151:C154"/>
    <mergeCell ref="D151:D154"/>
    <mergeCell ref="E151:E154"/>
    <mergeCell ref="J151:J154"/>
    <mergeCell ref="K151:K154"/>
    <mergeCell ref="L151:L154"/>
    <mergeCell ref="M151:M154"/>
    <mergeCell ref="N151:N154"/>
    <mergeCell ref="F143:F146"/>
    <mergeCell ref="AL143:AL146"/>
    <mergeCell ref="A147:A150"/>
    <mergeCell ref="B147:B150"/>
    <mergeCell ref="C147:C150"/>
    <mergeCell ref="D147:D150"/>
    <mergeCell ref="E147:E150"/>
    <mergeCell ref="F147:F150"/>
    <mergeCell ref="AL147:AL150"/>
    <mergeCell ref="A143:A146"/>
    <mergeCell ref="B143:B146"/>
    <mergeCell ref="C143:C146"/>
    <mergeCell ref="D143:D146"/>
    <mergeCell ref="E143:E146"/>
    <mergeCell ref="J143:J146"/>
    <mergeCell ref="K143:K146"/>
    <mergeCell ref="L143:L146"/>
    <mergeCell ref="M143:M146"/>
    <mergeCell ref="N143:N146"/>
    <mergeCell ref="F135:F138"/>
    <mergeCell ref="AL135:AL138"/>
    <mergeCell ref="A139:A142"/>
    <mergeCell ref="B139:B142"/>
    <mergeCell ref="C139:C142"/>
    <mergeCell ref="D139:D142"/>
    <mergeCell ref="E139:E142"/>
    <mergeCell ref="F139:F142"/>
    <mergeCell ref="AL139:AL142"/>
    <mergeCell ref="A135:A138"/>
    <mergeCell ref="B135:B138"/>
    <mergeCell ref="C135:C138"/>
    <mergeCell ref="D135:D138"/>
    <mergeCell ref="E135:E138"/>
    <mergeCell ref="J135:J138"/>
    <mergeCell ref="K135:K138"/>
    <mergeCell ref="L135:L138"/>
    <mergeCell ref="M135:M138"/>
    <mergeCell ref="N135:N138"/>
    <mergeCell ref="F127:F130"/>
    <mergeCell ref="AL127:AL130"/>
    <mergeCell ref="A131:A134"/>
    <mergeCell ref="B131:B134"/>
    <mergeCell ref="C131:C134"/>
    <mergeCell ref="D131:D134"/>
    <mergeCell ref="E131:E134"/>
    <mergeCell ref="F131:F134"/>
    <mergeCell ref="AL131:AL134"/>
    <mergeCell ref="A127:A130"/>
    <mergeCell ref="B127:B130"/>
    <mergeCell ref="C127:C130"/>
    <mergeCell ref="D127:D130"/>
    <mergeCell ref="E127:E130"/>
    <mergeCell ref="J127:J130"/>
    <mergeCell ref="K127:K130"/>
    <mergeCell ref="L127:L130"/>
    <mergeCell ref="M127:M130"/>
    <mergeCell ref="N127:N130"/>
    <mergeCell ref="F119:F122"/>
    <mergeCell ref="AL119:AL122"/>
    <mergeCell ref="A123:A126"/>
    <mergeCell ref="B123:B126"/>
    <mergeCell ref="C123:C126"/>
    <mergeCell ref="E123:E126"/>
    <mergeCell ref="F123:F126"/>
    <mergeCell ref="AL123:AL126"/>
    <mergeCell ref="A119:A122"/>
    <mergeCell ref="B119:B122"/>
    <mergeCell ref="C119:C122"/>
    <mergeCell ref="E119:E122"/>
    <mergeCell ref="J119:J122"/>
    <mergeCell ref="K119:K122"/>
    <mergeCell ref="L119:L122"/>
    <mergeCell ref="M119:M122"/>
    <mergeCell ref="N119:N122"/>
    <mergeCell ref="D119:D123"/>
    <mergeCell ref="D124:D126"/>
    <mergeCell ref="F111:F114"/>
    <mergeCell ref="AL111:AL114"/>
    <mergeCell ref="A115:A118"/>
    <mergeCell ref="B115:B118"/>
    <mergeCell ref="C115:C118"/>
    <mergeCell ref="D115:D118"/>
    <mergeCell ref="E115:E118"/>
    <mergeCell ref="F115:F118"/>
    <mergeCell ref="AL115:AL118"/>
    <mergeCell ref="A111:A114"/>
    <mergeCell ref="B111:B114"/>
    <mergeCell ref="C111:C114"/>
    <mergeCell ref="D111:D114"/>
    <mergeCell ref="E111:E114"/>
    <mergeCell ref="J111:J114"/>
    <mergeCell ref="K111:K114"/>
    <mergeCell ref="L111:L114"/>
    <mergeCell ref="M111:M114"/>
    <mergeCell ref="N111:N114"/>
    <mergeCell ref="F103:F106"/>
    <mergeCell ref="AL103:AL106"/>
    <mergeCell ref="A107:A110"/>
    <mergeCell ref="B107:B110"/>
    <mergeCell ref="C107:C110"/>
    <mergeCell ref="D107:D110"/>
    <mergeCell ref="E107:E110"/>
    <mergeCell ref="F107:F110"/>
    <mergeCell ref="AL107:AL110"/>
    <mergeCell ref="A103:A106"/>
    <mergeCell ref="B103:B106"/>
    <mergeCell ref="C103:C106"/>
    <mergeCell ref="D103:D106"/>
    <mergeCell ref="E103:E106"/>
    <mergeCell ref="J103:J106"/>
    <mergeCell ref="K103:K106"/>
    <mergeCell ref="L103:L106"/>
    <mergeCell ref="M103:M106"/>
    <mergeCell ref="N103:N106"/>
    <mergeCell ref="G107:G110"/>
    <mergeCell ref="O107:O110"/>
    <mergeCell ref="P107:P110"/>
    <mergeCell ref="Q107:Q110"/>
    <mergeCell ref="R107:R110"/>
    <mergeCell ref="F95:F98"/>
    <mergeCell ref="AL95:AL98"/>
    <mergeCell ref="A99:A102"/>
    <mergeCell ref="B99:B102"/>
    <mergeCell ref="C99:C102"/>
    <mergeCell ref="D99:D102"/>
    <mergeCell ref="E99:E102"/>
    <mergeCell ref="F99:F102"/>
    <mergeCell ref="AL99:AL102"/>
    <mergeCell ref="A95:A98"/>
    <mergeCell ref="B95:B98"/>
    <mergeCell ref="C95:C98"/>
    <mergeCell ref="D95:D98"/>
    <mergeCell ref="E95:E98"/>
    <mergeCell ref="J95:J98"/>
    <mergeCell ref="K95:K98"/>
    <mergeCell ref="L95:L98"/>
    <mergeCell ref="M95:M98"/>
    <mergeCell ref="N95:N98"/>
    <mergeCell ref="F87:F90"/>
    <mergeCell ref="AL87:AL90"/>
    <mergeCell ref="A91:A94"/>
    <mergeCell ref="B91:B94"/>
    <mergeCell ref="C91:C94"/>
    <mergeCell ref="D91:D94"/>
    <mergeCell ref="E91:E94"/>
    <mergeCell ref="F91:F94"/>
    <mergeCell ref="AL91:AL94"/>
    <mergeCell ref="A87:A90"/>
    <mergeCell ref="B87:B90"/>
    <mergeCell ref="C87:C90"/>
    <mergeCell ref="D87:D90"/>
    <mergeCell ref="E87:E90"/>
    <mergeCell ref="J87:J90"/>
    <mergeCell ref="K87:K90"/>
    <mergeCell ref="L87:L90"/>
    <mergeCell ref="M87:M90"/>
    <mergeCell ref="N87:N90"/>
    <mergeCell ref="F83:F86"/>
    <mergeCell ref="AL83:AL86"/>
    <mergeCell ref="A83:A86"/>
    <mergeCell ref="B83:B86"/>
    <mergeCell ref="C83:C86"/>
    <mergeCell ref="D83:D86"/>
    <mergeCell ref="E83:E86"/>
    <mergeCell ref="J83:J86"/>
    <mergeCell ref="K83:K86"/>
    <mergeCell ref="L83:L86"/>
    <mergeCell ref="M83:M86"/>
    <mergeCell ref="N83:N86"/>
    <mergeCell ref="F75:F78"/>
    <mergeCell ref="AL75:AL78"/>
    <mergeCell ref="A79:A82"/>
    <mergeCell ref="B79:B82"/>
    <mergeCell ref="C79:C82"/>
    <mergeCell ref="D79:D82"/>
    <mergeCell ref="E79:E82"/>
    <mergeCell ref="F79:F82"/>
    <mergeCell ref="AL79:AL82"/>
    <mergeCell ref="A75:A78"/>
    <mergeCell ref="B75:B78"/>
    <mergeCell ref="C75:C78"/>
    <mergeCell ref="D75:D78"/>
    <mergeCell ref="E75:E78"/>
    <mergeCell ref="J75:J78"/>
    <mergeCell ref="K75:K78"/>
    <mergeCell ref="L75:L78"/>
    <mergeCell ref="M75:M78"/>
    <mergeCell ref="N75:N78"/>
    <mergeCell ref="J79:J82"/>
    <mergeCell ref="F67:F70"/>
    <mergeCell ref="AL67:AL70"/>
    <mergeCell ref="A71:A74"/>
    <mergeCell ref="B71:B74"/>
    <mergeCell ref="C71:C74"/>
    <mergeCell ref="D71:D74"/>
    <mergeCell ref="E71:E74"/>
    <mergeCell ref="F71:F74"/>
    <mergeCell ref="AL71:AL74"/>
    <mergeCell ref="A67:A70"/>
    <mergeCell ref="B67:B70"/>
    <mergeCell ref="C67:C70"/>
    <mergeCell ref="D67:D70"/>
    <mergeCell ref="E67:E70"/>
    <mergeCell ref="J67:J70"/>
    <mergeCell ref="K67:K70"/>
    <mergeCell ref="L67:L70"/>
    <mergeCell ref="M67:M70"/>
    <mergeCell ref="N67:N70"/>
    <mergeCell ref="J71:J74"/>
    <mergeCell ref="K71:K74"/>
    <mergeCell ref="L71:L74"/>
    <mergeCell ref="M71:M74"/>
    <mergeCell ref="N71:N74"/>
    <mergeCell ref="F59:F62"/>
    <mergeCell ref="AL59:AL62"/>
    <mergeCell ref="A63:A66"/>
    <mergeCell ref="B63:B66"/>
    <mergeCell ref="C63:C66"/>
    <mergeCell ref="D63:D66"/>
    <mergeCell ref="E63:E66"/>
    <mergeCell ref="F63:F66"/>
    <mergeCell ref="AL63:AL66"/>
    <mergeCell ref="A59:A62"/>
    <mergeCell ref="B59:B62"/>
    <mergeCell ref="C59:C62"/>
    <mergeCell ref="D59:D62"/>
    <mergeCell ref="E59:E62"/>
    <mergeCell ref="J59:J62"/>
    <mergeCell ref="K59:K62"/>
    <mergeCell ref="L59:L62"/>
    <mergeCell ref="M59:M62"/>
    <mergeCell ref="N59:N62"/>
    <mergeCell ref="J63:J66"/>
    <mergeCell ref="K63:K66"/>
    <mergeCell ref="L63:L66"/>
    <mergeCell ref="M63:M66"/>
    <mergeCell ref="N63:N66"/>
    <mergeCell ref="F51:F54"/>
    <mergeCell ref="AL51:AL54"/>
    <mergeCell ref="A55:A58"/>
    <mergeCell ref="B55:B58"/>
    <mergeCell ref="C55:C58"/>
    <mergeCell ref="D55:D58"/>
    <mergeCell ref="E55:E58"/>
    <mergeCell ref="F55:F58"/>
    <mergeCell ref="AL55:AL58"/>
    <mergeCell ref="A51:A54"/>
    <mergeCell ref="B51:B54"/>
    <mergeCell ref="C51:C54"/>
    <mergeCell ref="D51:D54"/>
    <mergeCell ref="E51:E54"/>
    <mergeCell ref="J51:J54"/>
    <mergeCell ref="K51:K54"/>
    <mergeCell ref="L51:L54"/>
    <mergeCell ref="M51:M54"/>
    <mergeCell ref="N51:N54"/>
    <mergeCell ref="J55:J58"/>
    <mergeCell ref="K55:K58"/>
    <mergeCell ref="L55:L58"/>
    <mergeCell ref="M55:M58"/>
    <mergeCell ref="N55:N58"/>
    <mergeCell ref="F43:F46"/>
    <mergeCell ref="AL43:AL46"/>
    <mergeCell ref="A47:A50"/>
    <mergeCell ref="B47:B50"/>
    <mergeCell ref="C47:C50"/>
    <mergeCell ref="D47:D50"/>
    <mergeCell ref="E47:E50"/>
    <mergeCell ref="F47:F50"/>
    <mergeCell ref="AL47:AL50"/>
    <mergeCell ref="A43:A46"/>
    <mergeCell ref="B43:B46"/>
    <mergeCell ref="C43:C46"/>
    <mergeCell ref="D43:D46"/>
    <mergeCell ref="E43:E46"/>
    <mergeCell ref="J43:J46"/>
    <mergeCell ref="K43:K46"/>
    <mergeCell ref="L43:L46"/>
    <mergeCell ref="M43:M46"/>
    <mergeCell ref="N43:N46"/>
    <mergeCell ref="J47:J50"/>
    <mergeCell ref="K47:K50"/>
    <mergeCell ref="L47:L50"/>
    <mergeCell ref="M47:M50"/>
    <mergeCell ref="N47:N50"/>
    <mergeCell ref="F35:F38"/>
    <mergeCell ref="AL35:AL38"/>
    <mergeCell ref="A39:A42"/>
    <mergeCell ref="B39:B42"/>
    <mergeCell ref="C39:C42"/>
    <mergeCell ref="D39:D42"/>
    <mergeCell ref="E39:E42"/>
    <mergeCell ref="F39:F42"/>
    <mergeCell ref="AL39:AL42"/>
    <mergeCell ref="A35:A38"/>
    <mergeCell ref="B35:B38"/>
    <mergeCell ref="C35:C38"/>
    <mergeCell ref="D35:D38"/>
    <mergeCell ref="E35:E38"/>
    <mergeCell ref="J35:J38"/>
    <mergeCell ref="K35:K38"/>
    <mergeCell ref="L35:L38"/>
    <mergeCell ref="M35:M38"/>
    <mergeCell ref="N35:N38"/>
    <mergeCell ref="J39:J42"/>
    <mergeCell ref="K39:K42"/>
    <mergeCell ref="L39:L42"/>
    <mergeCell ref="M39:M42"/>
    <mergeCell ref="N39:N42"/>
    <mergeCell ref="G21:G22"/>
    <mergeCell ref="H21:H22"/>
    <mergeCell ref="I21:I22"/>
    <mergeCell ref="J23:J26"/>
    <mergeCell ref="K23:K26"/>
    <mergeCell ref="L23:L26"/>
    <mergeCell ref="M23:M26"/>
    <mergeCell ref="N23:N26"/>
    <mergeCell ref="F27:F30"/>
    <mergeCell ref="AL27:AL30"/>
    <mergeCell ref="A31:A34"/>
    <mergeCell ref="B31:B34"/>
    <mergeCell ref="C31:C34"/>
    <mergeCell ref="D31:D34"/>
    <mergeCell ref="E31:E34"/>
    <mergeCell ref="F31:F34"/>
    <mergeCell ref="AL31:AL34"/>
    <mergeCell ref="A27:A30"/>
    <mergeCell ref="B27:B30"/>
    <mergeCell ref="C27:C30"/>
    <mergeCell ref="D27:D30"/>
    <mergeCell ref="E27:E30"/>
    <mergeCell ref="J27:J30"/>
    <mergeCell ref="K27:K30"/>
    <mergeCell ref="L27:L30"/>
    <mergeCell ref="M27:M30"/>
    <mergeCell ref="N27:N30"/>
    <mergeCell ref="Y32:Y34"/>
    <mergeCell ref="Z32:Z34"/>
    <mergeCell ref="AA32:AA34"/>
    <mergeCell ref="AB32:AB34"/>
    <mergeCell ref="AC32:AC34"/>
    <mergeCell ref="AR7:AR10"/>
    <mergeCell ref="AS7:AS10"/>
    <mergeCell ref="AT7:AT10"/>
    <mergeCell ref="AU7:AU10"/>
    <mergeCell ref="BE7:BE10"/>
    <mergeCell ref="BF7:BF10"/>
    <mergeCell ref="BG7:BG10"/>
    <mergeCell ref="BB4:BD5"/>
    <mergeCell ref="BE11:BE15"/>
    <mergeCell ref="BF11:BF15"/>
    <mergeCell ref="F16:F22"/>
    <mergeCell ref="AL16:AL22"/>
    <mergeCell ref="A23:A26"/>
    <mergeCell ref="B23:B26"/>
    <mergeCell ref="C23:C26"/>
    <mergeCell ref="D23:D26"/>
    <mergeCell ref="E23:E26"/>
    <mergeCell ref="F23:F26"/>
    <mergeCell ref="AL23:AL26"/>
    <mergeCell ref="A16:A22"/>
    <mergeCell ref="B16:B22"/>
    <mergeCell ref="C16:C22"/>
    <mergeCell ref="D16:D22"/>
    <mergeCell ref="E16:E22"/>
    <mergeCell ref="J16:J22"/>
    <mergeCell ref="K16:K22"/>
    <mergeCell ref="L16:L22"/>
    <mergeCell ref="M16:M22"/>
    <mergeCell ref="N16:N22"/>
    <mergeCell ref="G18:G19"/>
    <mergeCell ref="H18:H19"/>
    <mergeCell ref="I18:I19"/>
    <mergeCell ref="R11:R12"/>
    <mergeCell ref="T11:T12"/>
    <mergeCell ref="S11:S12"/>
    <mergeCell ref="Q14:Q15"/>
    <mergeCell ref="R14:R15"/>
    <mergeCell ref="S14:S15"/>
    <mergeCell ref="J11:J15"/>
    <mergeCell ref="K11:K15"/>
    <mergeCell ref="L11:L15"/>
    <mergeCell ref="U11:U12"/>
    <mergeCell ref="AV4:BA5"/>
    <mergeCell ref="BE4:BG5"/>
    <mergeCell ref="A7:A10"/>
    <mergeCell ref="A11:A15"/>
    <mergeCell ref="B7:B10"/>
    <mergeCell ref="C7:C10"/>
    <mergeCell ref="D7:D10"/>
    <mergeCell ref="E7:E10"/>
    <mergeCell ref="F7:F10"/>
    <mergeCell ref="AL7:AL10"/>
    <mergeCell ref="B11:B15"/>
    <mergeCell ref="C11:C15"/>
    <mergeCell ref="D11:D15"/>
    <mergeCell ref="E11:E15"/>
    <mergeCell ref="F11:F15"/>
    <mergeCell ref="AL11:AL15"/>
    <mergeCell ref="J7:J10"/>
    <mergeCell ref="L7:L10"/>
    <mergeCell ref="K7:K10"/>
    <mergeCell ref="M7:M10"/>
    <mergeCell ref="N7:N10"/>
    <mergeCell ref="AM7:AM10"/>
    <mergeCell ref="AI28:AI29"/>
    <mergeCell ref="AJ28:AJ29"/>
    <mergeCell ref="AK28:AK29"/>
    <mergeCell ref="AM27:AM30"/>
    <mergeCell ref="AN27:AN30"/>
    <mergeCell ref="AO27:AO30"/>
    <mergeCell ref="AM51:AM54"/>
    <mergeCell ref="AN51:AN54"/>
    <mergeCell ref="AO51:AO54"/>
    <mergeCell ref="A1:F3"/>
    <mergeCell ref="G1:AU3"/>
    <mergeCell ref="AU4:AU5"/>
    <mergeCell ref="J5:N5"/>
    <mergeCell ref="O5:Q5"/>
    <mergeCell ref="R5:AG5"/>
    <mergeCell ref="AH5:AI5"/>
    <mergeCell ref="AJ5:AK5"/>
    <mergeCell ref="AL5:AM5"/>
    <mergeCell ref="AR5:AT5"/>
    <mergeCell ref="A4:I5"/>
    <mergeCell ref="J4:N4"/>
    <mergeCell ref="O4:AT4"/>
    <mergeCell ref="I11:I13"/>
    <mergeCell ref="G14:G15"/>
    <mergeCell ref="H14:H15"/>
    <mergeCell ref="O11:O12"/>
    <mergeCell ref="O14:O15"/>
    <mergeCell ref="P14:P15"/>
    <mergeCell ref="Q11:Q12"/>
    <mergeCell ref="W14:W15"/>
    <mergeCell ref="X14:X15"/>
    <mergeCell ref="G29:G30"/>
    <mergeCell ref="AR67:AR70"/>
    <mergeCell ref="AS67:AS70"/>
    <mergeCell ref="AT67:AT70"/>
    <mergeCell ref="AU67:AU70"/>
    <mergeCell ref="J31:J34"/>
    <mergeCell ref="K31:K34"/>
    <mergeCell ref="L31:L34"/>
    <mergeCell ref="M31:M34"/>
    <mergeCell ref="N31:N34"/>
    <mergeCell ref="AM31:AM34"/>
    <mergeCell ref="AN31:AN34"/>
    <mergeCell ref="AO31:AO34"/>
    <mergeCell ref="AR31:AR34"/>
    <mergeCell ref="AS31:AS34"/>
    <mergeCell ref="AT31:AT34"/>
    <mergeCell ref="AU31:AU34"/>
    <mergeCell ref="O32:O34"/>
    <mergeCell ref="Q32:Q34"/>
    <mergeCell ref="R32:R34"/>
    <mergeCell ref="S32:S34"/>
    <mergeCell ref="T32:T34"/>
    <mergeCell ref="U32:U34"/>
    <mergeCell ref="V32:V34"/>
    <mergeCell ref="W32:W34"/>
    <mergeCell ref="X32:X34"/>
    <mergeCell ref="AD32:AD34"/>
    <mergeCell ref="AE32:AE34"/>
    <mergeCell ref="AF32:AF34"/>
    <mergeCell ref="AG32:AG34"/>
    <mergeCell ref="AH32:AH34"/>
    <mergeCell ref="AI32:AI34"/>
    <mergeCell ref="AJ32:AJ34"/>
    <mergeCell ref="AM71:AM74"/>
    <mergeCell ref="AN71:AN74"/>
    <mergeCell ref="AO71:AO74"/>
    <mergeCell ref="AR71:AR74"/>
    <mergeCell ref="AS71:AS74"/>
    <mergeCell ref="AT71:AT74"/>
    <mergeCell ref="AU71:AU74"/>
    <mergeCell ref="AP67:AP70"/>
    <mergeCell ref="AP71:AP74"/>
    <mergeCell ref="AQ67:AQ70"/>
    <mergeCell ref="AQ71:AQ74"/>
    <mergeCell ref="AM59:AM62"/>
    <mergeCell ref="AN59:AN62"/>
    <mergeCell ref="AO59:AO62"/>
    <mergeCell ref="AR59:AR62"/>
    <mergeCell ref="AM75:AM78"/>
    <mergeCell ref="AN75:AN78"/>
    <mergeCell ref="AO75:AO78"/>
    <mergeCell ref="AR75:AR78"/>
    <mergeCell ref="AS75:AS78"/>
    <mergeCell ref="AT75:AT78"/>
    <mergeCell ref="AU75:AU78"/>
    <mergeCell ref="AO63:AO66"/>
    <mergeCell ref="AR63:AR66"/>
    <mergeCell ref="AS63:AS66"/>
    <mergeCell ref="AT63:AT66"/>
    <mergeCell ref="AU63:AU66"/>
    <mergeCell ref="AP59:AP62"/>
    <mergeCell ref="AP63:AP66"/>
    <mergeCell ref="AQ59:AQ62"/>
    <mergeCell ref="AQ63:AQ66"/>
    <mergeCell ref="AO67:AO70"/>
    <mergeCell ref="K79:K82"/>
    <mergeCell ref="L79:L82"/>
    <mergeCell ref="M79:M82"/>
    <mergeCell ref="N79:N82"/>
    <mergeCell ref="AM79:AM82"/>
    <mergeCell ref="AN79:AN82"/>
    <mergeCell ref="AO79:AO82"/>
    <mergeCell ref="AR79:AR82"/>
    <mergeCell ref="AS79:AS82"/>
    <mergeCell ref="AT79:AT82"/>
    <mergeCell ref="AU79:AU82"/>
    <mergeCell ref="AP75:AP78"/>
    <mergeCell ref="AP79:AP82"/>
    <mergeCell ref="AQ75:AQ78"/>
    <mergeCell ref="AQ79:AQ82"/>
    <mergeCell ref="AM83:AM86"/>
    <mergeCell ref="AN83:AN86"/>
    <mergeCell ref="AO83:AO86"/>
    <mergeCell ref="AR83:AR86"/>
    <mergeCell ref="AS83:AS86"/>
    <mergeCell ref="AT83:AT86"/>
    <mergeCell ref="AU83:AU86"/>
    <mergeCell ref="AP83:AP86"/>
    <mergeCell ref="AQ83:AQ86"/>
    <mergeCell ref="AN87:AN90"/>
    <mergeCell ref="AO87:AO90"/>
    <mergeCell ref="AR87:AR90"/>
    <mergeCell ref="AS87:AS90"/>
    <mergeCell ref="AT87:AT90"/>
    <mergeCell ref="AU87:AU90"/>
    <mergeCell ref="J91:J94"/>
    <mergeCell ref="K91:K94"/>
    <mergeCell ref="L91:L94"/>
    <mergeCell ref="M91:M94"/>
    <mergeCell ref="N91:N94"/>
    <mergeCell ref="AM91:AM94"/>
    <mergeCell ref="AN91:AN94"/>
    <mergeCell ref="AO91:AO94"/>
    <mergeCell ref="AR91:AR94"/>
    <mergeCell ref="AS91:AS94"/>
    <mergeCell ref="AT91:AT94"/>
    <mergeCell ref="AU91:AU94"/>
    <mergeCell ref="AP87:AP90"/>
    <mergeCell ref="AP91:AP94"/>
    <mergeCell ref="AQ87:AQ90"/>
    <mergeCell ref="AQ91:AQ94"/>
    <mergeCell ref="AN95:AN98"/>
    <mergeCell ref="AO95:AO98"/>
    <mergeCell ref="AR95:AR98"/>
    <mergeCell ref="AS95:AS98"/>
    <mergeCell ref="AT95:AT98"/>
    <mergeCell ref="AU95:AU98"/>
    <mergeCell ref="J99:J102"/>
    <mergeCell ref="K99:K102"/>
    <mergeCell ref="L99:L102"/>
    <mergeCell ref="M99:M102"/>
    <mergeCell ref="N99:N102"/>
    <mergeCell ref="AM99:AM102"/>
    <mergeCell ref="AN99:AN102"/>
    <mergeCell ref="AO99:AO102"/>
    <mergeCell ref="AR99:AR102"/>
    <mergeCell ref="AS99:AS102"/>
    <mergeCell ref="AT99:AT102"/>
    <mergeCell ref="AU99:AU102"/>
    <mergeCell ref="AP95:AP98"/>
    <mergeCell ref="AP99:AP102"/>
    <mergeCell ref="AQ95:AQ98"/>
    <mergeCell ref="AQ99:AQ102"/>
    <mergeCell ref="AN103:AN106"/>
    <mergeCell ref="AO103:AO106"/>
    <mergeCell ref="AR103:AR106"/>
    <mergeCell ref="AS103:AS106"/>
    <mergeCell ref="AT103:AT106"/>
    <mergeCell ref="AU103:AU106"/>
    <mergeCell ref="J107:J110"/>
    <mergeCell ref="K107:K110"/>
    <mergeCell ref="L107:L110"/>
    <mergeCell ref="M107:M110"/>
    <mergeCell ref="N107:N110"/>
    <mergeCell ref="AM107:AM110"/>
    <mergeCell ref="AN107:AN110"/>
    <mergeCell ref="AO107:AO110"/>
    <mergeCell ref="AR107:AR110"/>
    <mergeCell ref="AS107:AS110"/>
    <mergeCell ref="AT107:AT110"/>
    <mergeCell ref="AU107:AU110"/>
    <mergeCell ref="AP103:AP106"/>
    <mergeCell ref="AP107:AP110"/>
    <mergeCell ref="AQ103:AQ106"/>
    <mergeCell ref="AQ107:AQ110"/>
    <mergeCell ref="AN111:AN114"/>
    <mergeCell ref="AO111:AO114"/>
    <mergeCell ref="AR111:AR114"/>
    <mergeCell ref="AS111:AS114"/>
    <mergeCell ref="AT111:AT114"/>
    <mergeCell ref="AU111:AU114"/>
    <mergeCell ref="J115:J118"/>
    <mergeCell ref="K115:K118"/>
    <mergeCell ref="L115:L118"/>
    <mergeCell ref="M115:M118"/>
    <mergeCell ref="N115:N118"/>
    <mergeCell ref="AM115:AM118"/>
    <mergeCell ref="AN115:AN118"/>
    <mergeCell ref="AO115:AO118"/>
    <mergeCell ref="AR115:AR118"/>
    <mergeCell ref="AS115:AS118"/>
    <mergeCell ref="AT115:AT118"/>
    <mergeCell ref="AU115:AU118"/>
    <mergeCell ref="AP111:AP114"/>
    <mergeCell ref="AP115:AP118"/>
    <mergeCell ref="AQ111:AQ114"/>
    <mergeCell ref="AQ115:AQ118"/>
    <mergeCell ref="AN119:AN122"/>
    <mergeCell ref="AO119:AO122"/>
    <mergeCell ref="AR119:AR122"/>
    <mergeCell ref="AS119:AS122"/>
    <mergeCell ref="AT119:AT122"/>
    <mergeCell ref="AU119:AU122"/>
    <mergeCell ref="J123:J126"/>
    <mergeCell ref="K123:K126"/>
    <mergeCell ref="L123:L126"/>
    <mergeCell ref="M123:M126"/>
    <mergeCell ref="N123:N126"/>
    <mergeCell ref="AM123:AM126"/>
    <mergeCell ref="AN123:AN126"/>
    <mergeCell ref="AO123:AO126"/>
    <mergeCell ref="AR123:AR126"/>
    <mergeCell ref="AS123:AS126"/>
    <mergeCell ref="AT123:AT126"/>
    <mergeCell ref="AU123:AU126"/>
    <mergeCell ref="AP119:AP122"/>
    <mergeCell ref="AP123:AP126"/>
    <mergeCell ref="AQ119:AQ122"/>
    <mergeCell ref="AQ123:AQ126"/>
    <mergeCell ref="AN127:AN130"/>
    <mergeCell ref="AO127:AO130"/>
    <mergeCell ref="AR127:AR130"/>
    <mergeCell ref="AS127:AS130"/>
    <mergeCell ref="AT127:AT130"/>
    <mergeCell ref="AU127:AU130"/>
    <mergeCell ref="J131:J134"/>
    <mergeCell ref="K131:K134"/>
    <mergeCell ref="L131:L134"/>
    <mergeCell ref="M131:M134"/>
    <mergeCell ref="N131:N134"/>
    <mergeCell ref="AM131:AM134"/>
    <mergeCell ref="AN131:AN134"/>
    <mergeCell ref="AO131:AO134"/>
    <mergeCell ref="AR131:AR134"/>
    <mergeCell ref="AS131:AS134"/>
    <mergeCell ref="AT131:AT134"/>
    <mergeCell ref="AU131:AU134"/>
    <mergeCell ref="AP127:AP130"/>
    <mergeCell ref="AP131:AP134"/>
    <mergeCell ref="AQ127:AQ130"/>
    <mergeCell ref="AQ131:AQ134"/>
    <mergeCell ref="AN135:AN138"/>
    <mergeCell ref="AO135:AO138"/>
    <mergeCell ref="AR135:AR138"/>
    <mergeCell ref="AS135:AS138"/>
    <mergeCell ref="AT135:AT138"/>
    <mergeCell ref="AU135:AU138"/>
    <mergeCell ref="J139:J142"/>
    <mergeCell ref="K139:K142"/>
    <mergeCell ref="L139:L142"/>
    <mergeCell ref="M139:M142"/>
    <mergeCell ref="N139:N142"/>
    <mergeCell ref="AM139:AM142"/>
    <mergeCell ref="AN139:AN142"/>
    <mergeCell ref="AO139:AO142"/>
    <mergeCell ref="AR139:AR142"/>
    <mergeCell ref="AS139:AS142"/>
    <mergeCell ref="AT139:AT142"/>
    <mergeCell ref="AU139:AU142"/>
    <mergeCell ref="AP135:AP138"/>
    <mergeCell ref="AP139:AP142"/>
    <mergeCell ref="AQ135:AQ138"/>
    <mergeCell ref="AQ139:AQ142"/>
    <mergeCell ref="AN143:AN146"/>
    <mergeCell ref="AO143:AO146"/>
    <mergeCell ref="AR143:AR146"/>
    <mergeCell ref="AS143:AS146"/>
    <mergeCell ref="AT143:AT146"/>
    <mergeCell ref="AU143:AU146"/>
    <mergeCell ref="J147:J150"/>
    <mergeCell ref="K147:K150"/>
    <mergeCell ref="L147:L150"/>
    <mergeCell ref="M147:M150"/>
    <mergeCell ref="N147:N150"/>
    <mergeCell ref="AM147:AM150"/>
    <mergeCell ref="AN147:AN150"/>
    <mergeCell ref="AO147:AO150"/>
    <mergeCell ref="AR147:AR150"/>
    <mergeCell ref="AS147:AS150"/>
    <mergeCell ref="AT147:AT150"/>
    <mergeCell ref="AU147:AU150"/>
    <mergeCell ref="AP143:AP146"/>
    <mergeCell ref="AP147:AP150"/>
    <mergeCell ref="AQ143:AQ146"/>
    <mergeCell ref="AQ147:AQ150"/>
    <mergeCell ref="AN151:AN154"/>
    <mergeCell ref="AO151:AO154"/>
    <mergeCell ref="AR151:AR154"/>
    <mergeCell ref="AS151:AS154"/>
    <mergeCell ref="AT151:AT154"/>
    <mergeCell ref="AU151:AU154"/>
    <mergeCell ref="J155:J158"/>
    <mergeCell ref="K155:K158"/>
    <mergeCell ref="L155:L158"/>
    <mergeCell ref="M155:M158"/>
    <mergeCell ref="N155:N158"/>
    <mergeCell ref="AM155:AM158"/>
    <mergeCell ref="AN155:AN158"/>
    <mergeCell ref="AO155:AO158"/>
    <mergeCell ref="AR155:AR158"/>
    <mergeCell ref="AS155:AS158"/>
    <mergeCell ref="AT155:AT158"/>
    <mergeCell ref="AU155:AU158"/>
    <mergeCell ref="AP151:AP154"/>
    <mergeCell ref="AP155:AP158"/>
    <mergeCell ref="AQ151:AQ154"/>
    <mergeCell ref="AQ155:AQ158"/>
    <mergeCell ref="AN159:AN162"/>
    <mergeCell ref="AO159:AO162"/>
    <mergeCell ref="AR159:AR162"/>
    <mergeCell ref="AS159:AS162"/>
    <mergeCell ref="AT159:AT162"/>
    <mergeCell ref="AU159:AU162"/>
    <mergeCell ref="AP159:AP162"/>
    <mergeCell ref="AQ159:AQ162"/>
    <mergeCell ref="AM163:AM166"/>
    <mergeCell ref="AN163:AN166"/>
    <mergeCell ref="AO163:AO166"/>
    <mergeCell ref="AR163:AR166"/>
    <mergeCell ref="AS163:AS166"/>
    <mergeCell ref="AT163:AT166"/>
    <mergeCell ref="AU163:AU166"/>
    <mergeCell ref="J167:J170"/>
    <mergeCell ref="K167:K170"/>
    <mergeCell ref="L167:L170"/>
    <mergeCell ref="M167:M170"/>
    <mergeCell ref="N167:N170"/>
    <mergeCell ref="AM167:AM170"/>
    <mergeCell ref="AN167:AN170"/>
    <mergeCell ref="AO167:AO170"/>
    <mergeCell ref="AR167:AR170"/>
    <mergeCell ref="AS167:AS170"/>
    <mergeCell ref="AT167:AT170"/>
    <mergeCell ref="AU167:AU170"/>
    <mergeCell ref="AP163:AP166"/>
    <mergeCell ref="AP167:AP170"/>
    <mergeCell ref="AQ163:AQ166"/>
    <mergeCell ref="AQ167:AQ170"/>
    <mergeCell ref="AN171:AN174"/>
    <mergeCell ref="AO171:AO174"/>
    <mergeCell ref="AR171:AR174"/>
    <mergeCell ref="AS171:AS174"/>
    <mergeCell ref="AT171:AT174"/>
    <mergeCell ref="AU171:AU174"/>
    <mergeCell ref="J175:J178"/>
    <mergeCell ref="K175:K178"/>
    <mergeCell ref="L175:L178"/>
    <mergeCell ref="M175:M178"/>
    <mergeCell ref="N175:N178"/>
    <mergeCell ref="AM175:AM178"/>
    <mergeCell ref="AN175:AN178"/>
    <mergeCell ref="AO175:AO178"/>
    <mergeCell ref="AR175:AR178"/>
    <mergeCell ref="AS175:AS178"/>
    <mergeCell ref="AT175:AT178"/>
    <mergeCell ref="AU175:AU178"/>
    <mergeCell ref="AP171:AP174"/>
    <mergeCell ref="AP175:AP178"/>
    <mergeCell ref="AQ171:AQ174"/>
    <mergeCell ref="AQ175:AQ178"/>
    <mergeCell ref="AN179:AN182"/>
    <mergeCell ref="AO179:AO182"/>
    <mergeCell ref="AR179:AR182"/>
    <mergeCell ref="AS179:AS182"/>
    <mergeCell ref="AT179:AT182"/>
    <mergeCell ref="AU179:AU182"/>
    <mergeCell ref="K183:K186"/>
    <mergeCell ref="M183:M186"/>
    <mergeCell ref="AP179:AP182"/>
    <mergeCell ref="AP183:AP186"/>
    <mergeCell ref="AQ179:AQ182"/>
    <mergeCell ref="AQ183:AQ186"/>
    <mergeCell ref="J183:J187"/>
    <mergeCell ref="L183:L187"/>
    <mergeCell ref="N183:N187"/>
    <mergeCell ref="AL183:AL187"/>
    <mergeCell ref="AM183:AM187"/>
    <mergeCell ref="AN183:AN187"/>
    <mergeCell ref="AO183:AO187"/>
    <mergeCell ref="AR183:AR187"/>
    <mergeCell ref="AS183:AS187"/>
    <mergeCell ref="AT183:AT187"/>
    <mergeCell ref="AU183:AU187"/>
    <mergeCell ref="AN188:AN191"/>
    <mergeCell ref="AO188:AO191"/>
    <mergeCell ref="AR188:AR191"/>
    <mergeCell ref="AS188:AS191"/>
    <mergeCell ref="AT188:AT191"/>
    <mergeCell ref="AU188:AU191"/>
    <mergeCell ref="J192:J195"/>
    <mergeCell ref="K192:K195"/>
    <mergeCell ref="L192:L195"/>
    <mergeCell ref="M192:M195"/>
    <mergeCell ref="N192:N195"/>
    <mergeCell ref="AM192:AM195"/>
    <mergeCell ref="AN192:AN195"/>
    <mergeCell ref="AO192:AO195"/>
    <mergeCell ref="AR192:AR195"/>
    <mergeCell ref="AS192:AS195"/>
    <mergeCell ref="AT192:AT195"/>
    <mergeCell ref="AU192:AU195"/>
    <mergeCell ref="AP188:AP191"/>
    <mergeCell ref="AP192:AP195"/>
    <mergeCell ref="AQ188:AQ191"/>
    <mergeCell ref="AQ192:AQ195"/>
    <mergeCell ref="AL192:AL195"/>
    <mergeCell ref="AN196:AN199"/>
    <mergeCell ref="AO196:AO199"/>
    <mergeCell ref="AR196:AR199"/>
    <mergeCell ref="AS196:AS199"/>
    <mergeCell ref="AT196:AT199"/>
    <mergeCell ref="AU196:AU199"/>
    <mergeCell ref="J200:J203"/>
    <mergeCell ref="K200:K203"/>
    <mergeCell ref="L200:L203"/>
    <mergeCell ref="M200:M203"/>
    <mergeCell ref="N200:N203"/>
    <mergeCell ref="AM200:AM203"/>
    <mergeCell ref="AN200:AN203"/>
    <mergeCell ref="AO200:AO203"/>
    <mergeCell ref="AR200:AR203"/>
    <mergeCell ref="AS200:AS203"/>
    <mergeCell ref="AT200:AT203"/>
    <mergeCell ref="AU200:AU203"/>
    <mergeCell ref="AP196:AP199"/>
    <mergeCell ref="AP200:AP203"/>
    <mergeCell ref="AQ196:AQ199"/>
    <mergeCell ref="AQ200:AQ203"/>
    <mergeCell ref="AN204:AN207"/>
    <mergeCell ref="AO204:AO207"/>
    <mergeCell ref="AR204:AR207"/>
    <mergeCell ref="AS204:AS207"/>
    <mergeCell ref="AT204:AT207"/>
    <mergeCell ref="AU204:AU207"/>
    <mergeCell ref="J208:J211"/>
    <mergeCell ref="K208:K211"/>
    <mergeCell ref="L208:L211"/>
    <mergeCell ref="M208:M211"/>
    <mergeCell ref="N208:N211"/>
    <mergeCell ref="AM208:AM211"/>
    <mergeCell ref="AN208:AN211"/>
    <mergeCell ref="AO208:AO211"/>
    <mergeCell ref="AR208:AR211"/>
    <mergeCell ref="AS208:AS211"/>
    <mergeCell ref="AT208:AT211"/>
    <mergeCell ref="AU208:AU211"/>
    <mergeCell ref="AP204:AP207"/>
    <mergeCell ref="AP208:AP211"/>
    <mergeCell ref="AQ204:AQ207"/>
    <mergeCell ref="AQ208:AQ211"/>
    <mergeCell ref="AS232:AS235"/>
    <mergeCell ref="AT232:AT235"/>
    <mergeCell ref="AU232:AU235"/>
    <mergeCell ref="J232:J235"/>
    <mergeCell ref="K232:K235"/>
    <mergeCell ref="L232:L235"/>
    <mergeCell ref="M232:M235"/>
    <mergeCell ref="N232:N235"/>
    <mergeCell ref="AU212:AU215"/>
    <mergeCell ref="J216:J219"/>
    <mergeCell ref="K216:K219"/>
    <mergeCell ref="L216:L219"/>
    <mergeCell ref="M216:M219"/>
    <mergeCell ref="N216:N219"/>
    <mergeCell ref="AM216:AM219"/>
    <mergeCell ref="AN216:AN219"/>
    <mergeCell ref="AO216:AO219"/>
    <mergeCell ref="AR216:AR219"/>
    <mergeCell ref="AS216:AS219"/>
    <mergeCell ref="AT216:AT219"/>
    <mergeCell ref="AU216:AU219"/>
    <mergeCell ref="AP212:AP215"/>
    <mergeCell ref="AP216:AP219"/>
    <mergeCell ref="AQ212:AQ215"/>
    <mergeCell ref="AQ216:AQ219"/>
    <mergeCell ref="AM212:AM215"/>
    <mergeCell ref="AN212:AN215"/>
    <mergeCell ref="AO212:AO215"/>
    <mergeCell ref="AR212:AR215"/>
    <mergeCell ref="AS212:AS215"/>
    <mergeCell ref="AT212:AT215"/>
    <mergeCell ref="AR220:AR223"/>
    <mergeCell ref="AT220:AT223"/>
    <mergeCell ref="AU220:AU223"/>
    <mergeCell ref="J224:J227"/>
    <mergeCell ref="K224:K227"/>
    <mergeCell ref="L224:L227"/>
    <mergeCell ref="M224:M227"/>
    <mergeCell ref="N224:N227"/>
    <mergeCell ref="AM224:AM227"/>
    <mergeCell ref="AN224:AN227"/>
    <mergeCell ref="AO224:AO227"/>
    <mergeCell ref="AR224:AR227"/>
    <mergeCell ref="AS224:AS227"/>
    <mergeCell ref="AT224:AT227"/>
    <mergeCell ref="AU224:AU227"/>
    <mergeCell ref="AP220:AP223"/>
    <mergeCell ref="AP224:AP227"/>
    <mergeCell ref="AQ220:AQ223"/>
    <mergeCell ref="AQ224:AQ227"/>
    <mergeCell ref="AN232:AN235"/>
    <mergeCell ref="AO232:AO235"/>
    <mergeCell ref="AR232:AR235"/>
    <mergeCell ref="M228:M231"/>
    <mergeCell ref="N228:N231"/>
    <mergeCell ref="AM228:AM231"/>
    <mergeCell ref="AN228:AN231"/>
    <mergeCell ref="AO228:AO231"/>
    <mergeCell ref="AR228:AR231"/>
    <mergeCell ref="AS228:AS231"/>
    <mergeCell ref="AT228:AT231"/>
    <mergeCell ref="AU228:AU231"/>
    <mergeCell ref="AP228:AP231"/>
    <mergeCell ref="AP232:AP235"/>
    <mergeCell ref="AQ228:AQ231"/>
    <mergeCell ref="AN11:AN12"/>
    <mergeCell ref="AO11:AO12"/>
    <mergeCell ref="AP11:AP12"/>
    <mergeCell ref="AQ11:AQ12"/>
    <mergeCell ref="AE28:AE29"/>
    <mergeCell ref="AF28:AF29"/>
    <mergeCell ref="AG28:AG29"/>
    <mergeCell ref="AM16:AM22"/>
    <mergeCell ref="M11:M15"/>
    <mergeCell ref="N11:N15"/>
    <mergeCell ref="AM11:AM15"/>
    <mergeCell ref="V11:V12"/>
    <mergeCell ref="AQ232:AQ235"/>
    <mergeCell ref="AM220:AM223"/>
    <mergeCell ref="AN220:AN223"/>
    <mergeCell ref="AO220:AO223"/>
    <mergeCell ref="AS220:AS223"/>
    <mergeCell ref="H29:H30"/>
    <mergeCell ref="O28:O29"/>
    <mergeCell ref="Q28:Q29"/>
    <mergeCell ref="R28:R29"/>
    <mergeCell ref="S28:S29"/>
    <mergeCell ref="T28:T29"/>
    <mergeCell ref="U28:U29"/>
    <mergeCell ref="V28:V29"/>
    <mergeCell ref="W28:W29"/>
    <mergeCell ref="X28:X29"/>
    <mergeCell ref="Y28:Y29"/>
    <mergeCell ref="Z28:Z29"/>
    <mergeCell ref="AA28:AA29"/>
    <mergeCell ref="AB28:AB29"/>
    <mergeCell ref="AC28:AC29"/>
    <mergeCell ref="AD28:AD29"/>
    <mergeCell ref="AM232:AM235"/>
    <mergeCell ref="AM204:AM207"/>
    <mergeCell ref="AM196:AM199"/>
    <mergeCell ref="AM188:AM191"/>
    <mergeCell ref="AM179:AM182"/>
    <mergeCell ref="AM171:AM174"/>
    <mergeCell ref="AM159:AM162"/>
    <mergeCell ref="AM151:AM154"/>
    <mergeCell ref="AM143:AM146"/>
    <mergeCell ref="AM135:AM138"/>
    <mergeCell ref="AM127:AM130"/>
    <mergeCell ref="AM119:AM122"/>
    <mergeCell ref="AM111:AM114"/>
    <mergeCell ref="AM103:AM106"/>
    <mergeCell ref="AM95:AM98"/>
    <mergeCell ref="AM87:AM90"/>
  </mergeCells>
  <conditionalFormatting sqref="N7 N11 N16 N23 N27 N31 N35 N39 N43 N47 N51 N55 N59 N63 N67 N71 N75 N79 N83 N87 N91 N95 N99 N103 N107 N111 N115 N119 N123 N127 N131 N135 N139 N143 N147 N151 N155 N159 N163 N167 N171 N175 N179 N183 N188 N192 N196 N200 N204 N208 N212 N216 N220 N224 N228 N232">
    <cfRule type="cellIs" dxfId="148" priority="15" operator="equal">
      <formula>"Extremo"</formula>
    </cfRule>
    <cfRule type="cellIs" dxfId="147" priority="16" operator="equal">
      <formula>"Alto"</formula>
    </cfRule>
    <cfRule type="cellIs" dxfId="146" priority="17" operator="equal">
      <formula>"Moderado"</formula>
    </cfRule>
    <cfRule type="cellIs" dxfId="145" priority="18" operator="equal">
      <formula>"Bajo"</formula>
    </cfRule>
  </conditionalFormatting>
  <conditionalFormatting sqref="AT7 AT11 AT16 AT23 AT27 AT31 AT35 AT39 AT43 AT47 AT51 AT55 AT59 AT63 AT67 AT71 AT75 AT79 AT83 AT87 AT91 AT95 AT99 AT103 AT107 AT111 AT115 AT119 AT123 AT127 AT131 AT135 AT139 AT143 AT147 AT151 AT155 AT159 AT163 AT167 AT171 AT175 AT179 AT183 AT188 AT192 AT196 AT200 AT204 AT208 AT212 AT216 AT220 AT224 AT228 AT232">
    <cfRule type="cellIs" dxfId="144" priority="11" operator="equal">
      <formula>"Extremo"</formula>
    </cfRule>
    <cfRule type="cellIs" dxfId="143" priority="12" operator="equal">
      <formula>"Alto"</formula>
    </cfRule>
    <cfRule type="cellIs" dxfId="142" priority="13" operator="equal">
      <formula>"Moderado"</formula>
    </cfRule>
    <cfRule type="cellIs" dxfId="141" priority="14" operator="equal">
      <formula>"Bajo"</formula>
    </cfRule>
  </conditionalFormatting>
  <dataValidations xWindow="715" yWindow="474" count="64">
    <dataValidation type="list" allowBlank="1" showInputMessage="1" showErrorMessage="1" sqref="P7:P12 P42 P53:P54 P66 P68:P70 P85:P86 P106 P192:P235 P134 P136:P138 P142 P146 P150 P152:P154 P180:P182 P126 P175:P176">
      <formula1>$G$7:$G$12</formula1>
    </dataValidation>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J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K6:M6"/>
    <dataValidation allowBlank="1" showInputMessage="1" showErrorMessage="1" prompt="Si el resultado de las calificaciones del control o promedio en el diseño de los controles, está por debajo de 96%, se debe establecer un plan de acción que permita tener un control bien diseñado" sqref="AF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J6"/>
    <dataValidation allowBlank="1" showInputMessage="1" showErrorMessage="1" prompt="Promedio entre el diseño Total de Control y Total Solidez Individual " sqref="AL6"/>
    <dataValidation allowBlank="1" showInputMessage="1" showErrorMessage="1" prompt="- Adecuado (15)_x000a__x000a_- Inadecuado (0)_x000a_" sqref="T6:U6"/>
    <dataValidation allowBlank="1" showInputMessage="1" showErrorMessage="1" prompt="- Se investigan y se resuelven Oportunamente (15)_x000a__x000a_- No se investigan y resuelven Oportunamente (0)_x000a_" sqref="AB6:AC6"/>
    <dataValidation allowBlank="1" showInputMessage="1" showErrorMessage="1" prompt="Completa (10)_x000a__x000a_Incompleta (5)_x000a__x000a_No esxiste (0)" sqref="AD6:AE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Q6"/>
    <dataValidation allowBlank="1" showInputMessage="1" showErrorMessage="1" prompt="- Asignado (15)_x000a__x000a_- No Asignado (0)" sqref="R6:S6"/>
    <dataValidation allowBlank="1" showInputMessage="1" showErrorMessage="1" prompt="- Oportuna (15)_x000a__x000a_- Inoportuna (0)_x000a_" sqref="V6:W6"/>
    <dataValidation allowBlank="1" showInputMessage="1" showErrorMessage="1" prompt="- Prevenir (15)_x000a__x000a_- Detectar (10)_x000a__x000a_- No es un Control (0)" sqref="X6:Y6"/>
    <dataValidation allowBlank="1" showInputMessage="1" showErrorMessage="1" prompt="- Confiable (15)_x000a__x000a_- No Confiable (0)_x000a_" sqref="Z6:AA6"/>
    <dataValidation allowBlank="1" showInputMessage="1" showErrorMessage="1" prompt="Fuerte: Calificación entre 96 y 100_x000a__x000a_Moderado: Calificación entre 86 y 95_x000a__x000a_Débil: Calificación entre 0 y 85" sqref="AG6"/>
    <dataValidation allowBlank="1" showInputMessage="1" showErrorMessage="1" prompt="Fuerte: Siempre se ejecuta_x000a__x000a_Moderado: Algunas veces_x000a__x000a_Débil: No se ejecuta " sqref="AH6:AI6"/>
    <dataValidation allowBlank="1" showInputMessage="1" showErrorMessage="1" prompt="Fuerte: 100_x000a__x000a_Moderado: 50_x000a__x000a_Débil: 0" sqref="AK6"/>
    <dataValidation allowBlank="1" showInputMessage="1" showErrorMessage="1" prompt="Fuerte: 100_x000a__x000a_Moderado: Entre 50 y 99_x000a__x000a_Débil: Menor a 50" sqref="AM6"/>
    <dataValidation type="list" allowBlank="1" showInputMessage="1" showErrorMessage="1" sqref="P13:P14">
      <formula1>$G$11:$G$15</formula1>
    </dataValidation>
    <dataValidation type="list" allowBlank="1" showInputMessage="1" showErrorMessage="1" sqref="P16:P22">
      <formula1>$G$16:$G$22</formula1>
    </dataValidation>
    <dataValidation type="list" allowBlank="1" showInputMessage="1" showErrorMessage="1" sqref="P23:P26">
      <formula1>$G$23:$G$26</formula1>
    </dataValidation>
    <dataValidation type="list" allowBlank="1" showInputMessage="1" showErrorMessage="1" sqref="P27:P30">
      <formula1>$G$27:$G$30</formula1>
    </dataValidation>
    <dataValidation type="list" allowBlank="1" showInputMessage="1" showErrorMessage="1" sqref="P31:P34">
      <formula1>$G$31:$G$34</formula1>
    </dataValidation>
    <dataValidation type="list" allowBlank="1" showInputMessage="1" showErrorMessage="1" sqref="P35:P38">
      <formula1>$G$35:$G$38</formula1>
    </dataValidation>
    <dataValidation type="list" allowBlank="1" showInputMessage="1" showErrorMessage="1" sqref="P39:P41">
      <formula1>$G$39:$G$42</formula1>
    </dataValidation>
    <dataValidation type="list" allowBlank="1" showInputMessage="1" showErrorMessage="1" sqref="P44:P46">
      <formula1>$G$43:$G$46</formula1>
    </dataValidation>
    <dataValidation type="list" allowBlank="1" showInputMessage="1" showErrorMessage="1" sqref="P47:P50">
      <formula1>$G$47:$G$50</formula1>
    </dataValidation>
    <dataValidation type="list" allowBlank="1" showInputMessage="1" showErrorMessage="1" sqref="P51:P52">
      <formula1>$G$51:$G$54</formula1>
    </dataValidation>
    <dataValidation type="list" allowBlank="1" showInputMessage="1" showErrorMessage="1" sqref="P55 P57:P58">
      <formula1>$G$55:$G$58</formula1>
    </dataValidation>
    <dataValidation type="list" allowBlank="1" showInputMessage="1" showErrorMessage="1" sqref="P59:P62">
      <formula1>$G$59:$G$62</formula1>
    </dataValidation>
    <dataValidation type="list" allowBlank="1" showInputMessage="1" showErrorMessage="1" sqref="P63:P65">
      <formula1>$G$63:$G$66</formula1>
    </dataValidation>
    <dataValidation type="list" allowBlank="1" showInputMessage="1" showErrorMessage="1" sqref="P71:P74">
      <formula1>$G$71:$G$73</formula1>
    </dataValidation>
    <dataValidation type="list" allowBlank="1" showInputMessage="1" showErrorMessage="1" sqref="P83:P84">
      <formula1>$G$83:$G$86</formula1>
    </dataValidation>
    <dataValidation type="list" allowBlank="1" showInputMessage="1" showErrorMessage="1" sqref="P75:P78">
      <formula1>$G$75:$G$78</formula1>
    </dataValidation>
    <dataValidation type="list" allowBlank="1" showInputMessage="1" showErrorMessage="1" sqref="P79:P82">
      <formula1>$G$79:$G$82</formula1>
    </dataValidation>
    <dataValidation type="list" allowBlank="1" showInputMessage="1" showErrorMessage="1" sqref="P99:P102">
      <formula1>$G$99:$G$102</formula1>
    </dataValidation>
    <dataValidation type="list" allowBlank="1" showInputMessage="1" showErrorMessage="1" sqref="P103:P105">
      <formula1>$G$103:$G$106</formula1>
    </dataValidation>
    <dataValidation type="list" allowBlank="1" showInputMessage="1" showErrorMessage="1" sqref="P87:P90">
      <formula1>$G$87:$G$90</formula1>
    </dataValidation>
    <dataValidation type="list" allowBlank="1" showInputMessage="1" showErrorMessage="1" sqref="P91:P94">
      <formula1>$G$91:$G$94</formula1>
    </dataValidation>
    <dataValidation type="list" allowBlank="1" showInputMessage="1" showErrorMessage="1" sqref="P95:P98">
      <formula1>$G$95:$G$98</formula1>
    </dataValidation>
    <dataValidation type="list" allowBlank="1" showInputMessage="1" showErrorMessage="1" sqref="P107">
      <formula1>$G$107:$G$110</formula1>
    </dataValidation>
    <dataValidation type="list" allowBlank="1" showInputMessage="1" showErrorMessage="1" sqref="P111:P114">
      <formula1>$G$111:$G$114</formula1>
    </dataValidation>
    <dataValidation type="list" allowBlank="1" showInputMessage="1" showErrorMessage="1" sqref="P115:P118">
      <formula1>$G$115:$G$118</formula1>
    </dataValidation>
    <dataValidation type="list" allowBlank="1" showInputMessage="1" showErrorMessage="1" sqref="P120:P122">
      <formula1>$G$119:$G$122</formula1>
    </dataValidation>
    <dataValidation type="list" allowBlank="1" showInputMessage="1" showErrorMessage="1" sqref="P123">
      <formula1>$G$123:$G$126</formula1>
    </dataValidation>
    <dataValidation type="list" allowBlank="1" showInputMessage="1" showErrorMessage="1" sqref="P43">
      <formula1>$G$123:$G$125</formula1>
    </dataValidation>
    <dataValidation type="list" allowBlank="1" showInputMessage="1" showErrorMessage="1" sqref="P128:P130">
      <formula1>$G$127:$G$130</formula1>
    </dataValidation>
    <dataValidation type="list" allowBlank="1" showInputMessage="1" showErrorMessage="1" sqref="P131:P133">
      <formula1>$G$131:$G$134</formula1>
    </dataValidation>
    <dataValidation type="list" allowBlank="1" showInputMessage="1" showErrorMessage="1" sqref="P135">
      <formula1>$G$135:$G$138</formula1>
    </dataValidation>
    <dataValidation type="list" allowBlank="1" showInputMessage="1" showErrorMessage="1" sqref="P139:P141">
      <formula1>$G$139:$G$142</formula1>
    </dataValidation>
    <dataValidation type="list" allowBlank="1" showInputMessage="1" showErrorMessage="1" sqref="P143:P145">
      <formula1>$G$143:$G$146</formula1>
    </dataValidation>
    <dataValidation type="list" allowBlank="1" showInputMessage="1" showErrorMessage="1" sqref="P147:P149">
      <formula1>$G$147:$G$150</formula1>
    </dataValidation>
    <dataValidation type="list" allowBlank="1" showInputMessage="1" showErrorMessage="1" sqref="P151">
      <formula1>$G$151:$G$154</formula1>
    </dataValidation>
    <dataValidation type="list" allowBlank="1" showInputMessage="1" showErrorMessage="1" sqref="P155:P158">
      <formula1>$G$155:$G$158</formula1>
    </dataValidation>
    <dataValidation type="list" allowBlank="1" showInputMessage="1" showErrorMessage="1" sqref="P159:P160">
      <formula1>$G$159:$G$162</formula1>
    </dataValidation>
    <dataValidation type="list" allowBlank="1" showInputMessage="1" showErrorMessage="1" sqref="P163:P166">
      <formula1>$G$163:$G$166</formula1>
    </dataValidation>
    <dataValidation type="list" allowBlank="1" showInputMessage="1" showErrorMessage="1" sqref="P167:P170">
      <formula1>$G$167:$G$170</formula1>
    </dataValidation>
    <dataValidation type="list" allowBlank="1" showInputMessage="1" showErrorMessage="1" sqref="P171 P173:P174">
      <formula1>$G$171:$G$174</formula1>
    </dataValidation>
    <dataValidation type="list" allowBlank="1" showInputMessage="1" showErrorMessage="1" sqref="P177:P178">
      <formula1>$G$175:$G$178</formula1>
    </dataValidation>
    <dataValidation type="list" allowBlank="1" showInputMessage="1" showErrorMessage="1" sqref="P179">
      <formula1>$G$179:$G$182</formula1>
    </dataValidation>
    <dataValidation type="list" allowBlank="1" showInputMessage="1" showErrorMessage="1" sqref="P183:P187">
      <formula1>$G$183:$G$187</formula1>
    </dataValidation>
    <dataValidation type="list" allowBlank="1" showInputMessage="1" showErrorMessage="1" sqref="P188:P191">
      <formula1>$G$188:$G$191</formula1>
    </dataValidation>
    <dataValidation type="list" allowBlank="1" showInputMessage="1" showErrorMessage="1" sqref="P67">
      <formula1>$G$67:$G$70</formula1>
    </dataValidation>
    <dataValidation type="list" allowBlank="1" showInputMessage="1" showErrorMessage="1" sqref="P161:P162">
      <formula1>#REF!</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xWindow="715" yWindow="474" count="12">
        <x14:dataValidation type="list" allowBlank="1" showInputMessage="1" showErrorMessage="1">
          <x14:formula1>
            <xm:f>Listados!$E$26:$E$28</xm:f>
          </x14:formula1>
          <xm:sqref>AH7:AH11 AH13:AH14 AH16:AH28 AH30:AH32 AH35:AH235</xm:sqref>
        </x14:dataValidation>
        <x14:dataValidation type="list" allowBlank="1" showInputMessage="1" showErrorMessage="1">
          <x14:formula1>
            <xm:f>Listados!$C$26:$C$28</xm:f>
          </x14:formula1>
          <xm:sqref>AD7:AD11 AD13:AD14 AD16:AD28 AD30:AD32 AD35:AD235</xm:sqref>
        </x14:dataValidation>
        <x14:dataValidation type="list" allowBlank="1" showInputMessage="1" showErrorMessage="1">
          <x14:formula1>
            <xm:f>Listados!$G$26:$G$27</xm:f>
          </x14:formula1>
          <xm:sqref>Q7:Q11 Q13:Q14 X7:X11 X13:X14 Q16:Q28 X16:X28 Q30:Q32 X30:X32 Q111:Q235 X35:X235 Q35:Q107</xm:sqref>
        </x14:dataValidation>
        <x14:dataValidation type="list" allowBlank="1" showInputMessage="1" showErrorMessage="1">
          <x14:formula1>
            <xm:f>Listados!$B$3:$B$20</xm:f>
          </x14:formula1>
          <xm:sqref>B7 B11 B16 B23 B27 B31 B35 B39 B43 B47 B51 B55 B59 B63 B67 B71 B75 B95 B83 B224 B228 B232 B99 B103 B107 B111 B115 B119 B123 B127 B131 B135 B139 B87 B91 B79 B155 B159 B143 B147 B151 B163 B167 B171 B175 B183 B188 B192 B196 B200 B204 B208 B212 B216 B220</xm:sqref>
        </x14:dataValidation>
        <x14:dataValidation type="list" allowBlank="1" showInputMessage="1" showErrorMessage="1">
          <x14:formula1>
            <xm:f>Corrupción!$J$3:$J$7</xm:f>
          </x14:formula1>
          <xm:sqref>J7 J11 J16 J23 J27 J31 J35 J39 J43 J47 J51 J55 J59 J63 J67 J71 J75 J79 J83 J224 J228 J232 J99 J103 J107 J111 J115 J119 J123 J127 J131 J135 J139 J143 J147 J151 J155 J159 J163 J167 J171 J175 J179 J183 J188 J192 J196 J200 J204 J208 J212 J216 J220 J87 J91 J95</xm:sqref>
        </x14:dataValidation>
        <x14:dataValidation type="list" allowBlank="1" showInputMessage="1" showErrorMessage="1">
          <x14:formula1>
            <xm:f>Listados!$B$26:$B$27</xm:f>
          </x14:formula1>
          <xm:sqref>R7:R11 T7:T11 R13:R14 V7:V11 Z7:Z11 AB7:AB11 T13:T14 V13:V14 Z13:Z14 AB13:AB14 R16:R28 T16:T28 V16:V28 Z16:Z28 AB16:AB28 R30:R32 T30:T32 V30:V32 Z30:Z32 AB30:AB32 R111:R235 Z35:Z235 T35:T1048576 V35:V235 AB35:AB235 R35:R107</xm:sqref>
        </x14:dataValidation>
        <x14:dataValidation type="list" allowBlank="1" showInputMessage="1" showErrorMessage="1">
          <x14:formula1>
            <xm:f>Listados!$G$3:$G$7</xm:f>
          </x14:formula1>
          <xm:sqref>L7 L11 L16 L23 L27 L31 L35 L39 L43 L47 L51 L55 L59 L63 L67 L71 L75 L79 L83 L224 L228 L232 L99 L103 L107 L111 L115 L119 L123 L127 L131 L135 L139 L143 L147 L151 L155 L159 L163 L167 L171 L175 L179 L183 L188 L192 L196 L200 L204 L208 L212 L216 L220 L87 L91 L95</xm:sqref>
        </x14:dataValidation>
        <x14:dataValidation type="list" allowBlank="1" showInputMessage="1" showErrorMessage="1">
          <x14:formula1>
            <xm:f>Listados!$D$3:$D$8</xm:f>
          </x14:formula1>
          <xm:sqref>E7 E11 E16</xm:sqref>
        </x14:dataValidation>
        <x14:dataValidation type="list" allowBlank="1" showInputMessage="1" showErrorMessage="1">
          <x14:formula1>
            <xm:f>Listados!$E$3:$E$4</xm:f>
          </x14:formula1>
          <xm:sqref>H7:H14 H16:H18 H20:H21 H23:H29 H31:H86 H90:H162 H166:H1048576</xm:sqref>
        </x14:dataValidation>
        <x14:dataValidation type="list" allowBlank="1" showInputMessage="1" showErrorMessage="1">
          <x14:formula1>
            <xm:f>Listados!$W$3:$W$10</xm:f>
          </x14:formula1>
          <xm:sqref>F188:F235 F7:F183</xm:sqref>
        </x14:dataValidation>
        <x14:dataValidation type="list" allowBlank="1" showInputMessage="1" showErrorMessage="1">
          <x14:formula1>
            <xm:f>Listados!$D$3:$D$9</xm:f>
          </x14:formula1>
          <xm:sqref>E188:E235 E23:E183</xm:sqref>
        </x14:dataValidation>
        <x14:dataValidation type="list" allowBlank="1" showInputMessage="1" showErrorMessage="1">
          <x14:formula1>
            <xm:f>Listados!$B$3:$B$21</xm:f>
          </x14:formula1>
          <xm:sqref>B179:B182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9"/>
  <sheetViews>
    <sheetView topLeftCell="A6" zoomScale="120" zoomScaleNormal="120" workbookViewId="0">
      <selection activeCell="E16" sqref="A15:E16"/>
    </sheetView>
  </sheetViews>
  <sheetFormatPr baseColWidth="10" defaultColWidth="11.42578125" defaultRowHeight="15"/>
  <cols>
    <col min="2" max="2" width="2.140625" bestFit="1" customWidth="1"/>
    <col min="3" max="3" width="14.42578125" bestFit="1" customWidth="1"/>
    <col min="4" max="5" width="39.140625" customWidth="1"/>
  </cols>
  <sheetData>
    <row r="2" spans="2:5" ht="15.75" thickBot="1"/>
    <row r="3" spans="2:5">
      <c r="B3" s="995" t="s">
        <v>1538</v>
      </c>
      <c r="C3" s="996"/>
      <c r="D3" s="996"/>
      <c r="E3" s="997"/>
    </row>
    <row r="4" spans="2:5" ht="15.75" thickBot="1">
      <c r="B4" s="998" t="s">
        <v>1539</v>
      </c>
      <c r="C4" s="999"/>
      <c r="D4" s="321" t="s">
        <v>1220</v>
      </c>
      <c r="E4" s="36" t="s">
        <v>1540</v>
      </c>
    </row>
    <row r="5" spans="2:5" ht="25.5">
      <c r="B5" s="37">
        <v>5</v>
      </c>
      <c r="C5" s="38" t="s">
        <v>69</v>
      </c>
      <c r="D5" s="39" t="s">
        <v>1541</v>
      </c>
      <c r="E5" s="40" t="s">
        <v>1542</v>
      </c>
    </row>
    <row r="6" spans="2:5" ht="25.5">
      <c r="B6" s="322">
        <v>4</v>
      </c>
      <c r="C6" s="420" t="s">
        <v>106</v>
      </c>
      <c r="D6" s="421" t="s">
        <v>1543</v>
      </c>
      <c r="E6" s="323" t="s">
        <v>1544</v>
      </c>
    </row>
    <row r="7" spans="2:5" ht="25.5">
      <c r="B7" s="322">
        <v>3</v>
      </c>
      <c r="C7" s="420" t="s">
        <v>88</v>
      </c>
      <c r="D7" s="421" t="s">
        <v>1545</v>
      </c>
      <c r="E7" s="323" t="s">
        <v>1546</v>
      </c>
    </row>
    <row r="8" spans="2:5" ht="25.5">
      <c r="B8" s="322">
        <v>2</v>
      </c>
      <c r="C8" s="420" t="s">
        <v>180</v>
      </c>
      <c r="D8" s="421" t="s">
        <v>1547</v>
      </c>
      <c r="E8" s="323" t="s">
        <v>1548</v>
      </c>
    </row>
    <row r="9" spans="2:5" ht="26.25" thickBot="1">
      <c r="B9" s="422">
        <v>1</v>
      </c>
      <c r="C9" s="324" t="s">
        <v>1549</v>
      </c>
      <c r="D9" s="325" t="s">
        <v>1550</v>
      </c>
      <c r="E9" s="41" t="s">
        <v>1551</v>
      </c>
    </row>
  </sheetData>
  <mergeCells count="2">
    <mergeCell ref="B3:E3"/>
    <mergeCell ref="B4:C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28"/>
  <sheetViews>
    <sheetView topLeftCell="J1" workbookViewId="0">
      <selection activeCell="S7" sqref="S7"/>
    </sheetView>
  </sheetViews>
  <sheetFormatPr baseColWidth="10" defaultColWidth="11.42578125" defaultRowHeight="15"/>
  <cols>
    <col min="2" max="2" width="13.85546875" customWidth="1"/>
    <col min="3" max="3" width="11.42578125" customWidth="1"/>
    <col min="4" max="4" width="13.28515625" customWidth="1"/>
    <col min="5" max="5" width="12.28515625" bestFit="1" customWidth="1"/>
    <col min="6" max="6" width="23.5703125" customWidth="1"/>
    <col min="7" max="7" width="24.85546875" customWidth="1"/>
    <col min="8" max="8" width="17.7109375" customWidth="1"/>
    <col min="10" max="10" width="17.140625" customWidth="1"/>
    <col min="11" max="11" width="19.5703125" customWidth="1"/>
    <col min="12" max="12" width="37.28515625" customWidth="1"/>
    <col min="13" max="13" width="21.42578125" customWidth="1"/>
  </cols>
  <sheetData>
    <row r="2" spans="2:16">
      <c r="B2" s="10" t="s">
        <v>1082</v>
      </c>
      <c r="C2" s="10" t="s">
        <v>1082</v>
      </c>
      <c r="D2" s="10" t="s">
        <v>1084</v>
      </c>
      <c r="E2" s="10" t="s">
        <v>1086</v>
      </c>
      <c r="F2" s="10" t="s">
        <v>1087</v>
      </c>
      <c r="G2" s="10" t="s">
        <v>1088</v>
      </c>
      <c r="H2" s="10" t="s">
        <v>1089</v>
      </c>
      <c r="J2" s="10" t="s">
        <v>1086</v>
      </c>
      <c r="K2" s="10" t="s">
        <v>1087</v>
      </c>
      <c r="L2" s="10" t="s">
        <v>1090</v>
      </c>
      <c r="O2" s="10" t="s">
        <v>1091</v>
      </c>
    </row>
    <row r="3" spans="2:16">
      <c r="B3" t="s">
        <v>1552</v>
      </c>
      <c r="C3" t="s">
        <v>1553</v>
      </c>
      <c r="D3" t="s">
        <v>1554</v>
      </c>
      <c r="E3" s="11" t="s">
        <v>1096</v>
      </c>
      <c r="F3" s="11" t="s">
        <v>640</v>
      </c>
      <c r="G3" t="s">
        <v>1097</v>
      </c>
      <c r="H3" t="s">
        <v>72</v>
      </c>
      <c r="J3" s="11" t="s">
        <v>412</v>
      </c>
      <c r="K3" s="11" t="s">
        <v>640</v>
      </c>
      <c r="L3" t="s">
        <v>1098</v>
      </c>
      <c r="M3" t="s">
        <v>1099</v>
      </c>
      <c r="O3" t="s">
        <v>1555</v>
      </c>
      <c r="P3" t="s">
        <v>1100</v>
      </c>
    </row>
    <row r="4" spans="2:16">
      <c r="B4" t="s">
        <v>1556</v>
      </c>
      <c r="C4" t="s">
        <v>1557</v>
      </c>
      <c r="D4" t="s">
        <v>85</v>
      </c>
      <c r="E4" s="11" t="s">
        <v>180</v>
      </c>
      <c r="F4" s="11" t="s">
        <v>70</v>
      </c>
      <c r="G4" s="11" t="s">
        <v>1104</v>
      </c>
      <c r="H4" t="s">
        <v>1105</v>
      </c>
      <c r="J4" s="11" t="s">
        <v>180</v>
      </c>
      <c r="K4" s="11" t="s">
        <v>70</v>
      </c>
      <c r="L4" t="s">
        <v>1106</v>
      </c>
      <c r="M4" t="s">
        <v>1099</v>
      </c>
      <c r="O4" t="s">
        <v>89</v>
      </c>
      <c r="P4" t="s">
        <v>1107</v>
      </c>
    </row>
    <row r="5" spans="2:16">
      <c r="B5" t="s">
        <v>1558</v>
      </c>
      <c r="C5" t="s">
        <v>1559</v>
      </c>
      <c r="D5" t="s">
        <v>767</v>
      </c>
      <c r="E5" s="11" t="s">
        <v>1109</v>
      </c>
      <c r="F5" s="11" t="s">
        <v>89</v>
      </c>
      <c r="G5" t="s">
        <v>1110</v>
      </c>
      <c r="J5" s="11" t="s">
        <v>88</v>
      </c>
      <c r="K5" s="11" t="s">
        <v>89</v>
      </c>
      <c r="L5" t="s">
        <v>1111</v>
      </c>
      <c r="M5" t="s">
        <v>89</v>
      </c>
      <c r="O5" t="s">
        <v>1112</v>
      </c>
      <c r="P5" t="s">
        <v>1113</v>
      </c>
    </row>
    <row r="6" spans="2:16">
      <c r="B6" t="s">
        <v>1560</v>
      </c>
      <c r="C6" t="s">
        <v>1560</v>
      </c>
      <c r="D6" t="s">
        <v>674</v>
      </c>
      <c r="E6" s="11" t="s">
        <v>106</v>
      </c>
      <c r="F6" s="11" t="s">
        <v>326</v>
      </c>
      <c r="G6" t="s">
        <v>1116</v>
      </c>
      <c r="J6" s="11" t="s">
        <v>106</v>
      </c>
      <c r="K6" s="11" t="s">
        <v>326</v>
      </c>
      <c r="L6" t="s">
        <v>1117</v>
      </c>
      <c r="M6" t="s">
        <v>1112</v>
      </c>
      <c r="O6" t="s">
        <v>1118</v>
      </c>
      <c r="P6" t="s">
        <v>1119</v>
      </c>
    </row>
    <row r="7" spans="2:16">
      <c r="B7" t="s">
        <v>1561</v>
      </c>
      <c r="C7" t="s">
        <v>1562</v>
      </c>
      <c r="D7" t="s">
        <v>278</v>
      </c>
      <c r="E7" s="11" t="s">
        <v>69</v>
      </c>
      <c r="F7" s="11" t="s">
        <v>107</v>
      </c>
      <c r="G7" s="11"/>
      <c r="J7" s="11" t="s">
        <v>69</v>
      </c>
      <c r="K7" s="11" t="s">
        <v>107</v>
      </c>
      <c r="L7" t="s">
        <v>1121</v>
      </c>
      <c r="M7" t="s">
        <v>1118</v>
      </c>
    </row>
    <row r="8" spans="2:16">
      <c r="B8" t="s">
        <v>1562</v>
      </c>
      <c r="C8" t="s">
        <v>1561</v>
      </c>
      <c r="D8" t="s">
        <v>64</v>
      </c>
      <c r="L8" t="s">
        <v>1123</v>
      </c>
      <c r="M8" t="s">
        <v>1099</v>
      </c>
    </row>
    <row r="9" spans="2:16">
      <c r="B9" t="s">
        <v>1557</v>
      </c>
      <c r="C9" t="s">
        <v>1556</v>
      </c>
      <c r="D9" t="s">
        <v>221</v>
      </c>
      <c r="L9" t="s">
        <v>1125</v>
      </c>
      <c r="M9" t="s">
        <v>1099</v>
      </c>
    </row>
    <row r="10" spans="2:16">
      <c r="B10" t="s">
        <v>1563</v>
      </c>
      <c r="C10" t="s">
        <v>1564</v>
      </c>
      <c r="L10" t="s">
        <v>1128</v>
      </c>
      <c r="M10" t="s">
        <v>89</v>
      </c>
    </row>
    <row r="11" spans="2:16">
      <c r="B11" t="s">
        <v>1553</v>
      </c>
      <c r="C11" t="s">
        <v>101</v>
      </c>
      <c r="L11" t="s">
        <v>1129</v>
      </c>
      <c r="M11" t="s">
        <v>1112</v>
      </c>
    </row>
    <row r="12" spans="2:16">
      <c r="B12" t="s">
        <v>1565</v>
      </c>
      <c r="C12" t="s">
        <v>1565</v>
      </c>
      <c r="L12" t="s">
        <v>1130</v>
      </c>
      <c r="M12" t="s">
        <v>1118</v>
      </c>
    </row>
    <row r="13" spans="2:16">
      <c r="B13" t="s">
        <v>1566</v>
      </c>
      <c r="C13" t="s">
        <v>1567</v>
      </c>
      <c r="L13" t="s">
        <v>1133</v>
      </c>
      <c r="M13" t="s">
        <v>1099</v>
      </c>
    </row>
    <row r="14" spans="2:16">
      <c r="B14" t="s">
        <v>1559</v>
      </c>
      <c r="C14" t="s">
        <v>61</v>
      </c>
      <c r="L14" t="s">
        <v>1135</v>
      </c>
      <c r="M14" t="s">
        <v>89</v>
      </c>
    </row>
    <row r="15" spans="2:16">
      <c r="B15" t="s">
        <v>1567</v>
      </c>
      <c r="C15" t="s">
        <v>150</v>
      </c>
      <c r="L15" t="s">
        <v>1137</v>
      </c>
      <c r="M15" t="s">
        <v>1112</v>
      </c>
    </row>
    <row r="16" spans="2:16">
      <c r="B16" t="s">
        <v>1568</v>
      </c>
      <c r="C16" t="s">
        <v>1569</v>
      </c>
      <c r="L16" t="s">
        <v>1138</v>
      </c>
      <c r="M16" t="s">
        <v>1118</v>
      </c>
    </row>
    <row r="17" spans="2:13">
      <c r="B17" t="s">
        <v>61</v>
      </c>
      <c r="C17" t="s">
        <v>1570</v>
      </c>
      <c r="L17" t="s">
        <v>1140</v>
      </c>
      <c r="M17" t="s">
        <v>1118</v>
      </c>
    </row>
    <row r="18" spans="2:13">
      <c r="B18" t="s">
        <v>1571</v>
      </c>
      <c r="C18" t="s">
        <v>1571</v>
      </c>
      <c r="L18" t="s">
        <v>1142</v>
      </c>
      <c r="M18" t="s">
        <v>89</v>
      </c>
    </row>
    <row r="19" spans="2:13">
      <c r="B19" t="s">
        <v>1570</v>
      </c>
      <c r="C19" t="s">
        <v>1558</v>
      </c>
      <c r="L19" t="s">
        <v>1144</v>
      </c>
      <c r="M19" t="s">
        <v>1112</v>
      </c>
    </row>
    <row r="20" spans="2:13">
      <c r="B20" t="s">
        <v>101</v>
      </c>
      <c r="C20" t="s">
        <v>1568</v>
      </c>
      <c r="L20" t="s">
        <v>1145</v>
      </c>
      <c r="M20" t="s">
        <v>1112</v>
      </c>
    </row>
    <row r="21" spans="2:13">
      <c r="B21" t="s">
        <v>150</v>
      </c>
      <c r="C21" t="s">
        <v>1563</v>
      </c>
      <c r="L21" t="s">
        <v>1146</v>
      </c>
      <c r="M21" t="s">
        <v>1118</v>
      </c>
    </row>
    <row r="22" spans="2:13">
      <c r="B22" t="s">
        <v>1569</v>
      </c>
      <c r="C22" t="s">
        <v>1566</v>
      </c>
      <c r="L22" t="s">
        <v>1147</v>
      </c>
      <c r="M22" t="s">
        <v>1118</v>
      </c>
    </row>
    <row r="23" spans="2:13">
      <c r="B23" t="s">
        <v>1564</v>
      </c>
      <c r="C23" t="s">
        <v>1552</v>
      </c>
      <c r="L23" t="s">
        <v>1148</v>
      </c>
      <c r="M23" t="s">
        <v>1112</v>
      </c>
    </row>
    <row r="24" spans="2:13">
      <c r="L24" t="s">
        <v>1149</v>
      </c>
      <c r="M24" t="s">
        <v>1112</v>
      </c>
    </row>
    <row r="25" spans="2:13">
      <c r="B25" s="10" t="s">
        <v>1150</v>
      </c>
      <c r="D25" s="10" t="s">
        <v>12</v>
      </c>
      <c r="F25" s="10" t="s">
        <v>1152</v>
      </c>
      <c r="L25" t="s">
        <v>1153</v>
      </c>
      <c r="M25" t="s">
        <v>1118</v>
      </c>
    </row>
    <row r="26" spans="2:13">
      <c r="B26" t="s">
        <v>73</v>
      </c>
      <c r="D26" t="s">
        <v>1101</v>
      </c>
      <c r="F26" t="s">
        <v>72</v>
      </c>
      <c r="L26" t="s">
        <v>1154</v>
      </c>
      <c r="M26" t="s">
        <v>1118</v>
      </c>
    </row>
    <row r="27" spans="2:13">
      <c r="B27" t="s">
        <v>869</v>
      </c>
      <c r="D27" t="s">
        <v>89</v>
      </c>
      <c r="F27" t="s">
        <v>83</v>
      </c>
      <c r="L27" t="s">
        <v>1156</v>
      </c>
      <c r="M27" t="s">
        <v>1118</v>
      </c>
    </row>
    <row r="28" spans="2:13">
      <c r="D28" t="s">
        <v>1114</v>
      </c>
    </row>
  </sheetData>
  <sheetProtection algorithmName="SHA-512" hashValue="NPKkYXgavLSzkSgJQaknIt700GWt4nvdm9YyMBFp1mKE7NScaYdnftH9NCEixnWAF+neYR5N8Xd7AULtGR6wIw==" saltValue="W5Hho+MnLKu7AHwbVgeFAg==" spinCount="100000" sheet="1" objects="1" scenarios="1"/>
  <customSheetViews>
    <customSheetView guid="{F8FDF2EC-A9AD-41AC-8138-AA3657B53E6D}" state="hidden" topLeftCell="C1">
      <selection activeCell="F23" sqref="F23"/>
      <pageMargins left="0" right="0" top="0" bottom="0" header="0" footer="0"/>
      <pageSetup orientation="portrait" r:id="rId1"/>
    </customSheetView>
    <customSheetView guid="{795C8354-6623-430F-B16F-866AD45BC174}" state="hidden" topLeftCell="C1">
      <selection activeCell="F23" sqref="F23"/>
      <pageMargins left="0" right="0" top="0" bottom="0" header="0" footer="0"/>
      <pageSetup orientation="portrait" r:id="rId2"/>
    </customSheetView>
    <customSheetView guid="{82BC0C9B-70E2-44EC-8408-64CC9B36E280}" state="hidden" topLeftCell="C1">
      <selection activeCell="F23" sqref="F23"/>
      <pageMargins left="0" right="0" top="0" bottom="0" header="0" footer="0"/>
      <pageSetup orientation="portrait" r:id="rId3"/>
    </customSheetView>
  </customSheetViews>
  <pageMargins left="0.7" right="0.7" top="0.75" bottom="0.75" header="0.3" footer="0.3"/>
  <pageSetup orientation="portrait"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J17"/>
  <sheetViews>
    <sheetView showGridLines="0" zoomScale="80" zoomScaleNormal="80" workbookViewId="0">
      <selection activeCell="AI6" sqref="AI6"/>
    </sheetView>
  </sheetViews>
  <sheetFormatPr baseColWidth="10" defaultColWidth="9.28515625" defaultRowHeight="15"/>
  <cols>
    <col min="1" max="5" width="3.7109375" customWidth="1"/>
    <col min="6" max="6" width="1.28515625" customWidth="1"/>
    <col min="7" max="36" width="3.7109375" customWidth="1"/>
  </cols>
  <sheetData>
    <row r="1" spans="3:36" ht="18" customHeight="1"/>
    <row r="3" spans="3:36" ht="51" customHeight="1">
      <c r="C3" s="1"/>
      <c r="D3" s="1"/>
      <c r="E3" s="1009" t="s">
        <v>1572</v>
      </c>
      <c r="F3" s="1"/>
      <c r="G3" s="1001" t="s">
        <v>1573</v>
      </c>
      <c r="H3" s="1001"/>
      <c r="I3" s="1001"/>
      <c r="J3" s="1001"/>
      <c r="K3" s="1001"/>
      <c r="L3" s="1001"/>
      <c r="M3" s="1002"/>
      <c r="N3" s="1002"/>
      <c r="O3" s="1002"/>
      <c r="P3" s="1002"/>
      <c r="Q3" s="1002"/>
      <c r="R3" s="1002"/>
      <c r="S3" s="1002"/>
      <c r="T3" s="1002"/>
      <c r="U3" s="1000"/>
      <c r="V3" s="1000"/>
      <c r="W3" s="1000"/>
      <c r="X3" s="1000"/>
      <c r="Y3" s="1000">
        <v>3</v>
      </c>
      <c r="Z3" s="1000"/>
      <c r="AA3" s="1000"/>
      <c r="AB3" s="1000"/>
      <c r="AC3" s="1000"/>
      <c r="AD3" s="1000"/>
      <c r="AE3" s="1000"/>
      <c r="AF3" s="1000"/>
      <c r="AG3" s="1"/>
      <c r="AH3" s="1"/>
      <c r="AI3" s="1"/>
      <c r="AJ3" s="2"/>
    </row>
    <row r="4" spans="3:36" ht="51" customHeight="1">
      <c r="C4" s="1"/>
      <c r="D4" s="1"/>
      <c r="E4" s="1009"/>
      <c r="F4" s="1"/>
      <c r="G4" s="1001" t="s">
        <v>1574</v>
      </c>
      <c r="H4" s="1001"/>
      <c r="I4" s="1001"/>
      <c r="J4" s="1001"/>
      <c r="K4" s="1001"/>
      <c r="L4" s="1001"/>
      <c r="M4" s="1003">
        <v>2</v>
      </c>
      <c r="N4" s="1003"/>
      <c r="O4" s="1003"/>
      <c r="P4" s="1003"/>
      <c r="Q4" s="1002"/>
      <c r="R4" s="1002"/>
      <c r="S4" s="1002"/>
      <c r="T4" s="1002"/>
      <c r="U4" s="1002">
        <v>7</v>
      </c>
      <c r="V4" s="1002"/>
      <c r="W4" s="1002"/>
      <c r="X4" s="1002"/>
      <c r="Y4" s="1000">
        <v>5</v>
      </c>
      <c r="Z4" s="1000"/>
      <c r="AA4" s="1000"/>
      <c r="AB4" s="1000"/>
      <c r="AC4" s="1000"/>
      <c r="AD4" s="1000"/>
      <c r="AE4" s="1000"/>
      <c r="AF4" s="1000"/>
      <c r="AG4" s="1"/>
      <c r="AH4" s="1"/>
      <c r="AI4" s="1"/>
      <c r="AJ4" s="2"/>
    </row>
    <row r="5" spans="3:36" ht="51" customHeight="1">
      <c r="C5" s="1"/>
      <c r="D5" s="1"/>
      <c r="E5" s="1009"/>
      <c r="F5" s="1"/>
      <c r="G5" s="1001" t="s">
        <v>1575</v>
      </c>
      <c r="H5" s="1001"/>
      <c r="I5" s="1001"/>
      <c r="J5" s="1001"/>
      <c r="K5" s="1001"/>
      <c r="L5" s="1001"/>
      <c r="M5" s="1008">
        <v>1</v>
      </c>
      <c r="N5" s="1008"/>
      <c r="O5" s="1008"/>
      <c r="P5" s="1008"/>
      <c r="Q5" s="1003">
        <v>1</v>
      </c>
      <c r="R5" s="1003"/>
      <c r="S5" s="1003"/>
      <c r="T5" s="1003"/>
      <c r="U5" s="1002">
        <v>3</v>
      </c>
      <c r="V5" s="1002"/>
      <c r="W5" s="1002"/>
      <c r="X5" s="1002"/>
      <c r="Y5" s="1000">
        <v>2</v>
      </c>
      <c r="Z5" s="1000"/>
      <c r="AA5" s="1000"/>
      <c r="AB5" s="1000"/>
      <c r="AC5" s="1000">
        <v>2</v>
      </c>
      <c r="AD5" s="1000"/>
      <c r="AE5" s="1000"/>
      <c r="AF5" s="1000"/>
      <c r="AG5" s="1"/>
      <c r="AH5" s="1"/>
      <c r="AI5" s="1"/>
      <c r="AJ5" s="3"/>
    </row>
    <row r="6" spans="3:36" ht="51" customHeight="1">
      <c r="C6" s="1"/>
      <c r="D6" s="1"/>
      <c r="E6" s="1009"/>
      <c r="F6" s="1"/>
      <c r="G6" s="1001" t="s">
        <v>1576</v>
      </c>
      <c r="H6" s="1001"/>
      <c r="I6" s="1001"/>
      <c r="J6" s="1001"/>
      <c r="K6" s="1001"/>
      <c r="L6" s="1001"/>
      <c r="M6" s="1008"/>
      <c r="N6" s="1008"/>
      <c r="O6" s="1008"/>
      <c r="P6" s="1008"/>
      <c r="Q6" s="1008">
        <v>6</v>
      </c>
      <c r="R6" s="1008"/>
      <c r="S6" s="1008"/>
      <c r="T6" s="1008"/>
      <c r="U6" s="1003">
        <v>2</v>
      </c>
      <c r="V6" s="1003"/>
      <c r="W6" s="1003"/>
      <c r="X6" s="1003"/>
      <c r="Y6" s="1002">
        <v>1</v>
      </c>
      <c r="Z6" s="1002"/>
      <c r="AA6" s="1002"/>
      <c r="AB6" s="1002"/>
      <c r="AC6" s="1000"/>
      <c r="AD6" s="1000"/>
      <c r="AE6" s="1000"/>
      <c r="AF6" s="1000"/>
      <c r="AG6" s="1"/>
      <c r="AH6" s="1"/>
      <c r="AI6" s="1"/>
      <c r="AJ6" s="3" t="s">
        <v>1555</v>
      </c>
    </row>
    <row r="7" spans="3:36" ht="51" customHeight="1">
      <c r="C7" s="1"/>
      <c r="D7" s="1"/>
      <c r="E7" s="1009"/>
      <c r="F7" s="1"/>
      <c r="G7" s="1001" t="s">
        <v>1577</v>
      </c>
      <c r="H7" s="1001"/>
      <c r="I7" s="1001"/>
      <c r="J7" s="1001"/>
      <c r="K7" s="1001"/>
      <c r="L7" s="1001"/>
      <c r="M7" s="1008">
        <v>2</v>
      </c>
      <c r="N7" s="1008"/>
      <c r="O7" s="1008"/>
      <c r="P7" s="1008"/>
      <c r="Q7" s="1008">
        <v>3</v>
      </c>
      <c r="R7" s="1008"/>
      <c r="S7" s="1008"/>
      <c r="T7" s="1008"/>
      <c r="U7" s="1003">
        <v>3</v>
      </c>
      <c r="V7" s="1003"/>
      <c r="W7" s="1003"/>
      <c r="X7" s="1003"/>
      <c r="Y7" s="1002">
        <v>3</v>
      </c>
      <c r="Z7" s="1002"/>
      <c r="AA7" s="1002"/>
      <c r="AB7" s="1002"/>
      <c r="AC7" s="1000">
        <v>6</v>
      </c>
      <c r="AD7" s="1000"/>
      <c r="AE7" s="1000"/>
      <c r="AF7" s="1000"/>
      <c r="AG7" s="1"/>
      <c r="AH7" s="1"/>
      <c r="AI7" s="1"/>
      <c r="AJ7" s="2"/>
    </row>
    <row r="8" spans="3:36" ht="45" customHeight="1">
      <c r="C8" s="1"/>
      <c r="D8" s="1"/>
      <c r="E8" s="1009"/>
      <c r="F8" s="1"/>
      <c r="G8" s="1007"/>
      <c r="H8" s="1007"/>
      <c r="I8" s="1007"/>
      <c r="J8" s="1007"/>
      <c r="K8" s="1007"/>
      <c r="L8" s="1007"/>
      <c r="M8" s="1001" t="s">
        <v>1578</v>
      </c>
      <c r="N8" s="1001"/>
      <c r="O8" s="1001"/>
      <c r="P8" s="1001"/>
      <c r="Q8" s="1001" t="s">
        <v>1579</v>
      </c>
      <c r="R8" s="1001"/>
      <c r="S8" s="1001"/>
      <c r="T8" s="1001"/>
      <c r="U8" s="1001" t="s">
        <v>1580</v>
      </c>
      <c r="V8" s="1001"/>
      <c r="W8" s="1001"/>
      <c r="X8" s="1001"/>
      <c r="Y8" s="1001" t="s">
        <v>1581</v>
      </c>
      <c r="Z8" s="1001"/>
      <c r="AA8" s="1001"/>
      <c r="AB8" s="1001"/>
      <c r="AC8" s="1001" t="s">
        <v>1582</v>
      </c>
      <c r="AD8" s="1001"/>
      <c r="AE8" s="1001"/>
      <c r="AF8" s="1001"/>
      <c r="AG8" s="1"/>
      <c r="AH8" s="1"/>
      <c r="AI8" s="1"/>
      <c r="AJ8" s="3" t="s">
        <v>1583</v>
      </c>
    </row>
    <row r="9" spans="3:36" ht="11.25" customHeight="1">
      <c r="C9" s="1"/>
      <c r="D9" s="1"/>
      <c r="E9" s="1"/>
      <c r="F9" s="1"/>
      <c r="G9" s="13"/>
      <c r="H9" s="13"/>
      <c r="I9" s="13"/>
      <c r="J9" s="13"/>
      <c r="K9" s="13"/>
      <c r="L9" s="13"/>
      <c r="M9" s="12"/>
      <c r="N9" s="12"/>
      <c r="O9" s="12"/>
      <c r="P9" s="12"/>
      <c r="Q9" s="12"/>
      <c r="R9" s="12"/>
      <c r="S9" s="12"/>
      <c r="T9" s="12"/>
      <c r="U9" s="12"/>
      <c r="V9" s="12"/>
      <c r="W9" s="12"/>
      <c r="X9" s="12"/>
      <c r="Y9" s="12"/>
      <c r="Z9" s="12"/>
      <c r="AA9" s="12"/>
      <c r="AB9" s="12"/>
      <c r="AC9" s="12"/>
      <c r="AD9" s="12"/>
      <c r="AE9" s="12"/>
      <c r="AF9" s="12"/>
      <c r="AG9" s="1"/>
      <c r="AH9" s="1"/>
      <c r="AI9" s="1"/>
      <c r="AJ9" s="3"/>
    </row>
    <row r="10" spans="3:36" ht="20.25" customHeight="1">
      <c r="C10" s="1"/>
      <c r="D10" s="1"/>
      <c r="E10" s="1"/>
      <c r="F10" s="1"/>
      <c r="G10" s="1006" t="s">
        <v>26</v>
      </c>
      <c r="H10" s="1006"/>
      <c r="I10" s="1006"/>
      <c r="J10" s="1006"/>
      <c r="K10" s="1006"/>
      <c r="L10" s="1006"/>
      <c r="M10" s="1006"/>
      <c r="N10" s="1006"/>
      <c r="O10" s="1006"/>
      <c r="P10" s="1006"/>
      <c r="Q10" s="1006"/>
      <c r="R10" s="1006"/>
      <c r="S10" s="1006"/>
      <c r="T10" s="1006"/>
      <c r="U10" s="1006"/>
      <c r="V10" s="1006"/>
      <c r="W10" s="1006"/>
      <c r="X10" s="1006"/>
      <c r="Y10" s="1006"/>
      <c r="Z10" s="1006"/>
      <c r="AA10" s="1006"/>
      <c r="AB10" s="1006"/>
      <c r="AC10" s="1006"/>
      <c r="AD10" s="1006"/>
      <c r="AE10" s="1006"/>
      <c r="AF10" s="1006"/>
      <c r="AG10" s="1"/>
      <c r="AH10" s="1"/>
      <c r="AI10" s="1"/>
      <c r="AJ10" s="2"/>
    </row>
    <row r="11" spans="3:36">
      <c r="C11" s="1"/>
      <c r="D11" s="1"/>
      <c r="E11" s="1"/>
      <c r="F11" s="1"/>
      <c r="G11" s="1"/>
      <c r="H11" s="1"/>
      <c r="I11" s="4"/>
      <c r="J11" s="5"/>
      <c r="K11" s="6"/>
      <c r="L11" s="7"/>
      <c r="M11" s="7"/>
      <c r="N11" s="6"/>
      <c r="O11" s="7"/>
      <c r="P11" s="7"/>
      <c r="Q11" s="6"/>
      <c r="R11" s="7"/>
      <c r="S11" s="7"/>
      <c r="T11" s="6"/>
      <c r="U11" s="7"/>
      <c r="V11" s="7"/>
      <c r="W11" s="7"/>
      <c r="X11" s="1"/>
      <c r="Y11" s="1"/>
      <c r="Z11" s="1"/>
      <c r="AA11" s="1"/>
      <c r="AB11" s="1"/>
      <c r="AC11" s="1"/>
      <c r="AD11" s="1"/>
      <c r="AE11" s="1"/>
      <c r="AF11" s="1"/>
      <c r="AG11" s="1"/>
      <c r="AH11" s="1"/>
      <c r="AI11" s="1"/>
      <c r="AJ11" s="1"/>
    </row>
    <row r="12" spans="3:36">
      <c r="C12" s="1"/>
      <c r="D12" s="1"/>
      <c r="E12" s="1"/>
      <c r="F12" s="1"/>
      <c r="G12" s="1"/>
      <c r="H12" s="1"/>
      <c r="I12" s="423"/>
      <c r="J12" s="1"/>
      <c r="K12" s="1"/>
      <c r="L12" s="1"/>
      <c r="M12" s="424" t="s">
        <v>1584</v>
      </c>
      <c r="N12" s="425" t="s">
        <v>1585</v>
      </c>
      <c r="O12" s="426"/>
      <c r="P12" s="8"/>
      <c r="Q12" s="427" t="s">
        <v>1586</v>
      </c>
      <c r="R12" s="425" t="s">
        <v>1587</v>
      </c>
      <c r="S12" s="426"/>
      <c r="T12" s="8"/>
      <c r="U12" s="428" t="s">
        <v>1588</v>
      </c>
      <c r="V12" s="425" t="s">
        <v>1589</v>
      </c>
      <c r="W12" s="429"/>
      <c r="X12" s="8"/>
      <c r="Y12" s="430" t="s">
        <v>1590</v>
      </c>
      <c r="Z12" s="425" t="s">
        <v>1591</v>
      </c>
      <c r="AA12" s="8"/>
      <c r="AB12" s="1"/>
      <c r="AC12" s="1"/>
      <c r="AD12" s="1"/>
      <c r="AE12" s="1"/>
      <c r="AF12" s="1"/>
      <c r="AG12" s="1"/>
      <c r="AH12" s="1"/>
      <c r="AI12" s="1"/>
      <c r="AJ12" s="1"/>
    </row>
    <row r="13" spans="3:36">
      <c r="C13" s="1"/>
      <c r="D13" s="1"/>
      <c r="E13" s="1"/>
      <c r="F13" s="1"/>
      <c r="G13" s="1"/>
      <c r="H13" s="1"/>
      <c r="I13" s="431"/>
      <c r="J13" s="6"/>
      <c r="K13" s="5"/>
      <c r="L13" s="432"/>
      <c r="M13" s="431"/>
      <c r="N13" s="6"/>
      <c r="O13" s="431"/>
      <c r="P13" s="431"/>
      <c r="Q13" s="6"/>
      <c r="R13" s="431"/>
      <c r="S13" s="431"/>
      <c r="T13" s="6"/>
      <c r="U13" s="431"/>
      <c r="V13" s="431"/>
      <c r="W13" s="431"/>
      <c r="X13" s="1"/>
      <c r="Y13" s="1"/>
      <c r="Z13" s="1"/>
      <c r="AA13" s="1"/>
      <c r="AB13" s="1"/>
      <c r="AC13" s="1"/>
      <c r="AD13" s="1"/>
      <c r="AE13" s="1"/>
      <c r="AF13" s="1"/>
      <c r="AG13" s="1"/>
      <c r="AH13" s="1"/>
      <c r="AI13" s="1"/>
      <c r="AJ13" s="1"/>
    </row>
    <row r="14" spans="3:36">
      <c r="C14" s="1005" t="s">
        <v>1592</v>
      </c>
      <c r="D14" s="1005"/>
      <c r="E14" s="1005"/>
      <c r="F14" s="1005"/>
      <c r="G14" s="1005"/>
      <c r="H14" s="1005"/>
      <c r="I14" s="1005"/>
      <c r="J14" s="1005"/>
      <c r="K14" s="1005"/>
      <c r="L14" s="1005"/>
      <c r="M14" s="1005"/>
      <c r="N14" s="1005"/>
      <c r="O14" s="1005"/>
      <c r="P14" s="1005"/>
      <c r="Q14" s="1005"/>
      <c r="R14" s="1005"/>
      <c r="S14" s="1005"/>
      <c r="T14" s="1005"/>
      <c r="U14" s="1005"/>
      <c r="V14" s="1005"/>
      <c r="W14" s="1005"/>
      <c r="X14" s="1005"/>
      <c r="Y14" s="1005"/>
      <c r="Z14" s="1005"/>
      <c r="AA14" s="1005"/>
      <c r="AB14" s="1005"/>
      <c r="AC14" s="1005"/>
      <c r="AD14" s="1005"/>
      <c r="AE14" s="1005"/>
      <c r="AF14" s="1005"/>
      <c r="AG14" s="1005"/>
      <c r="AH14" s="1005"/>
      <c r="AI14" s="1005"/>
      <c r="AJ14" s="1005"/>
    </row>
    <row r="15" spans="3:36" ht="32.25" customHeight="1">
      <c r="C15" s="1004" t="s">
        <v>1593</v>
      </c>
      <c r="D15" s="1004"/>
      <c r="E15" s="1004"/>
      <c r="F15" s="1004"/>
      <c r="G15" s="1004"/>
      <c r="H15" s="1004"/>
      <c r="I15" s="1004"/>
      <c r="J15" s="1004"/>
      <c r="K15" s="1004"/>
      <c r="L15" s="1004"/>
      <c r="M15" s="1004"/>
      <c r="N15" s="1004"/>
      <c r="O15" s="1004"/>
      <c r="P15" s="1004"/>
      <c r="Q15" s="1004"/>
      <c r="R15" s="1004"/>
      <c r="S15" s="1004"/>
      <c r="T15" s="1004"/>
      <c r="U15" s="1004"/>
      <c r="V15" s="1004"/>
      <c r="W15" s="1004"/>
      <c r="X15" s="1004"/>
      <c r="Y15" s="1004"/>
      <c r="Z15" s="1004"/>
      <c r="AA15" s="1004"/>
      <c r="AB15" s="1004"/>
      <c r="AC15" s="1004"/>
      <c r="AD15" s="1004"/>
      <c r="AE15" s="1004"/>
      <c r="AF15" s="1004"/>
      <c r="AG15" s="1004"/>
      <c r="AH15" s="1004"/>
      <c r="AI15" s="1004"/>
      <c r="AJ15" s="1004"/>
    </row>
    <row r="16" spans="3:36">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3:36">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sheetData>
  <customSheetViews>
    <customSheetView guid="{F8FDF2EC-A9AD-41AC-8138-AA3657B53E6D}" showGridLines="0" state="hidden">
      <selection activeCell="G5" sqref="G5:L5"/>
      <pageMargins left="0" right="0" top="0" bottom="0" header="0" footer="0"/>
      <pageSetup orientation="portrait" r:id="rId1"/>
    </customSheetView>
    <customSheetView guid="{795C8354-6623-430F-B16F-866AD45BC174}" showGridLines="0" state="hidden">
      <selection activeCell="G5" sqref="G5:L5"/>
      <pageMargins left="0" right="0" top="0" bottom="0" header="0" footer="0"/>
      <pageSetup orientation="portrait" r:id="rId2"/>
    </customSheetView>
    <customSheetView guid="{82BC0C9B-70E2-44EC-8408-64CC9B36E280}" showGridLines="0" state="hidden">
      <selection activeCell="G5" sqref="G5:L5"/>
      <pageMargins left="0" right="0" top="0" bottom="0" header="0" footer="0"/>
      <pageSetup orientation="portrait" r:id="rId3"/>
    </customSheetView>
  </customSheetViews>
  <mergeCells count="40">
    <mergeCell ref="AC5:AF5"/>
    <mergeCell ref="Y5:AB5"/>
    <mergeCell ref="M8:P8"/>
    <mergeCell ref="Q8:T8"/>
    <mergeCell ref="U8:X8"/>
    <mergeCell ref="Y8:AB8"/>
    <mergeCell ref="AC6:AF6"/>
    <mergeCell ref="G6:L6"/>
    <mergeCell ref="M6:P6"/>
    <mergeCell ref="Q6:T6"/>
    <mergeCell ref="U6:X6"/>
    <mergeCell ref="Y6:AB6"/>
    <mergeCell ref="C15:AJ15"/>
    <mergeCell ref="C14:AJ14"/>
    <mergeCell ref="G10:AF10"/>
    <mergeCell ref="G8:L8"/>
    <mergeCell ref="AC7:AF7"/>
    <mergeCell ref="G7:L7"/>
    <mergeCell ref="M7:P7"/>
    <mergeCell ref="Q7:T7"/>
    <mergeCell ref="U7:X7"/>
    <mergeCell ref="Y7:AB7"/>
    <mergeCell ref="AC8:AF8"/>
    <mergeCell ref="E3:E8"/>
    <mergeCell ref="G5:L5"/>
    <mergeCell ref="M5:P5"/>
    <mergeCell ref="Q5:T5"/>
    <mergeCell ref="U5:X5"/>
    <mergeCell ref="Y4:AB4"/>
    <mergeCell ref="AC4:AF4"/>
    <mergeCell ref="Y3:AB3"/>
    <mergeCell ref="AC3:AF3"/>
    <mergeCell ref="G3:L3"/>
    <mergeCell ref="M3:P3"/>
    <mergeCell ref="Q3:T3"/>
    <mergeCell ref="U3:X3"/>
    <mergeCell ref="G4:L4"/>
    <mergeCell ref="M4:P4"/>
    <mergeCell ref="Q4:T4"/>
    <mergeCell ref="U4:X4"/>
  </mergeCells>
  <pageMargins left="0.7" right="0.7" top="0.75" bottom="0.75" header="0.3" footer="0.3"/>
  <pageSetup orientation="portrait"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AJ20"/>
  <sheetViews>
    <sheetView showGridLines="0" topLeftCell="A4" workbookViewId="0">
      <selection activeCell="E4" sqref="E4:AF11"/>
    </sheetView>
  </sheetViews>
  <sheetFormatPr baseColWidth="10" defaultColWidth="9.28515625" defaultRowHeight="15"/>
  <cols>
    <col min="1" max="5" width="3.7109375" customWidth="1"/>
    <col min="6" max="6" width="1.28515625" customWidth="1"/>
    <col min="7" max="36" width="3.7109375" customWidth="1"/>
  </cols>
  <sheetData>
    <row r="1" spans="3:36" ht="18" customHeight="1"/>
    <row r="4" spans="3:36" ht="51" customHeight="1">
      <c r="C4" s="1"/>
      <c r="D4" s="1"/>
      <c r="E4" s="1009" t="s">
        <v>1572</v>
      </c>
      <c r="F4" s="1"/>
      <c r="G4" s="1001" t="s">
        <v>1573</v>
      </c>
      <c r="H4" s="1001"/>
      <c r="I4" s="1001"/>
      <c r="J4" s="1001"/>
      <c r="K4" s="1001"/>
      <c r="L4" s="1001"/>
      <c r="M4" s="1002"/>
      <c r="N4" s="1002"/>
      <c r="O4" s="1002"/>
      <c r="P4" s="1002"/>
      <c r="Q4" s="1002"/>
      <c r="R4" s="1002"/>
      <c r="S4" s="1002"/>
      <c r="T4" s="1002"/>
      <c r="U4" s="1000"/>
      <c r="V4" s="1000"/>
      <c r="W4" s="1000"/>
      <c r="X4" s="1000"/>
      <c r="Y4" s="1000"/>
      <c r="Z4" s="1000"/>
      <c r="AA4" s="1000"/>
      <c r="AB4" s="1000"/>
      <c r="AC4" s="1000"/>
      <c r="AD4" s="1000"/>
      <c r="AE4" s="1000"/>
      <c r="AF4" s="1000"/>
      <c r="AG4" s="1"/>
      <c r="AH4" s="1"/>
      <c r="AI4" s="1"/>
      <c r="AJ4" s="2"/>
    </row>
    <row r="5" spans="3:36" ht="51" customHeight="1">
      <c r="C5" s="1"/>
      <c r="D5" s="1"/>
      <c r="E5" s="1009"/>
      <c r="F5" s="1"/>
      <c r="G5" s="1001" t="s">
        <v>1574</v>
      </c>
      <c r="H5" s="1001"/>
      <c r="I5" s="1001"/>
      <c r="J5" s="1001"/>
      <c r="K5" s="1001"/>
      <c r="L5" s="1001"/>
      <c r="M5" s="1003"/>
      <c r="N5" s="1003"/>
      <c r="O5" s="1003"/>
      <c r="P5" s="1003"/>
      <c r="Q5" s="1002"/>
      <c r="R5" s="1002"/>
      <c r="S5" s="1002"/>
      <c r="T5" s="1002"/>
      <c r="U5" s="1002"/>
      <c r="V5" s="1002"/>
      <c r="W5" s="1002"/>
      <c r="X5" s="1002"/>
      <c r="Y5" s="1000">
        <v>1</v>
      </c>
      <c r="Z5" s="1000"/>
      <c r="AA5" s="1000"/>
      <c r="AB5" s="1000"/>
      <c r="AC5" s="1000"/>
      <c r="AD5" s="1000"/>
      <c r="AE5" s="1000"/>
      <c r="AF5" s="1000"/>
      <c r="AG5" s="1"/>
      <c r="AH5" s="1"/>
      <c r="AI5" s="1"/>
      <c r="AJ5" s="2"/>
    </row>
    <row r="6" spans="3:36" ht="51" customHeight="1">
      <c r="C6" s="1"/>
      <c r="D6" s="1"/>
      <c r="E6" s="1009"/>
      <c r="F6" s="1"/>
      <c r="G6" s="1001" t="s">
        <v>1575</v>
      </c>
      <c r="H6" s="1001"/>
      <c r="I6" s="1001"/>
      <c r="J6" s="1001"/>
      <c r="K6" s="1001"/>
      <c r="L6" s="1001"/>
      <c r="M6" s="1008"/>
      <c r="N6" s="1008"/>
      <c r="O6" s="1008"/>
      <c r="P6" s="1008"/>
      <c r="Q6" s="1003"/>
      <c r="R6" s="1003"/>
      <c r="S6" s="1003"/>
      <c r="T6" s="1003"/>
      <c r="U6" s="1002"/>
      <c r="V6" s="1002"/>
      <c r="W6" s="1002"/>
      <c r="X6" s="1002"/>
      <c r="Y6" s="1000">
        <v>2</v>
      </c>
      <c r="Z6" s="1000"/>
      <c r="AA6" s="1000"/>
      <c r="AB6" s="1000"/>
      <c r="AC6" s="1000">
        <v>1</v>
      </c>
      <c r="AD6" s="1000"/>
      <c r="AE6" s="1000"/>
      <c r="AF6" s="1000"/>
      <c r="AG6" s="1"/>
      <c r="AH6" s="1"/>
      <c r="AI6" s="1"/>
      <c r="AJ6" s="3"/>
    </row>
    <row r="7" spans="3:36" ht="51" customHeight="1">
      <c r="C7" s="1"/>
      <c r="D7" s="1"/>
      <c r="E7" s="1009"/>
      <c r="F7" s="1"/>
      <c r="G7" s="1001" t="s">
        <v>1576</v>
      </c>
      <c r="H7" s="1001"/>
      <c r="I7" s="1001"/>
      <c r="J7" s="1001"/>
      <c r="K7" s="1001"/>
      <c r="L7" s="1001"/>
      <c r="M7" s="1008"/>
      <c r="N7" s="1008"/>
      <c r="O7" s="1008"/>
      <c r="P7" s="1008"/>
      <c r="Q7" s="1008"/>
      <c r="R7" s="1008"/>
      <c r="S7" s="1008"/>
      <c r="T7" s="1008"/>
      <c r="U7" s="1003"/>
      <c r="V7" s="1003"/>
      <c r="W7" s="1003"/>
      <c r="X7" s="1003"/>
      <c r="Y7" s="1002">
        <v>1</v>
      </c>
      <c r="Z7" s="1002"/>
      <c r="AA7" s="1002"/>
      <c r="AB7" s="1002"/>
      <c r="AC7" s="1000"/>
      <c r="AD7" s="1000"/>
      <c r="AE7" s="1000"/>
      <c r="AF7" s="1000"/>
      <c r="AG7" s="1"/>
      <c r="AH7" s="1"/>
      <c r="AI7" s="1"/>
      <c r="AJ7" s="3" t="s">
        <v>1555</v>
      </c>
    </row>
    <row r="8" spans="3:36" ht="51" customHeight="1">
      <c r="C8" s="1"/>
      <c r="D8" s="1"/>
      <c r="E8" s="1009"/>
      <c r="F8" s="1"/>
      <c r="G8" s="1001" t="s">
        <v>1577</v>
      </c>
      <c r="H8" s="1001"/>
      <c r="I8" s="1001"/>
      <c r="J8" s="1001"/>
      <c r="K8" s="1001"/>
      <c r="L8" s="1001"/>
      <c r="M8" s="1008"/>
      <c r="N8" s="1008"/>
      <c r="O8" s="1008"/>
      <c r="P8" s="1008"/>
      <c r="Q8" s="1008"/>
      <c r="R8" s="1008"/>
      <c r="S8" s="1008"/>
      <c r="T8" s="1008"/>
      <c r="U8" s="1003"/>
      <c r="V8" s="1003"/>
      <c r="W8" s="1003"/>
      <c r="X8" s="1003"/>
      <c r="Y8" s="1002">
        <v>5</v>
      </c>
      <c r="Z8" s="1002"/>
      <c r="AA8" s="1002"/>
      <c r="AB8" s="1002"/>
      <c r="AC8" s="1000">
        <v>4</v>
      </c>
      <c r="AD8" s="1000"/>
      <c r="AE8" s="1000"/>
      <c r="AF8" s="1000"/>
      <c r="AG8" s="1"/>
      <c r="AH8" s="1"/>
      <c r="AI8" s="1"/>
      <c r="AJ8" s="2"/>
    </row>
    <row r="9" spans="3:36" ht="45" customHeight="1">
      <c r="C9" s="1"/>
      <c r="D9" s="1"/>
      <c r="E9" s="1009"/>
      <c r="F9" s="1"/>
      <c r="G9" s="1007"/>
      <c r="H9" s="1007"/>
      <c r="I9" s="1007"/>
      <c r="J9" s="1007"/>
      <c r="K9" s="1007"/>
      <c r="L9" s="1007"/>
      <c r="M9" s="1001" t="s">
        <v>1578</v>
      </c>
      <c r="N9" s="1001"/>
      <c r="O9" s="1001"/>
      <c r="P9" s="1001"/>
      <c r="Q9" s="1001" t="s">
        <v>1579</v>
      </c>
      <c r="R9" s="1001"/>
      <c r="S9" s="1001"/>
      <c r="T9" s="1001"/>
      <c r="U9" s="1001" t="s">
        <v>1580</v>
      </c>
      <c r="V9" s="1001"/>
      <c r="W9" s="1001"/>
      <c r="X9" s="1001"/>
      <c r="Y9" s="1001" t="s">
        <v>1581</v>
      </c>
      <c r="Z9" s="1001"/>
      <c r="AA9" s="1001"/>
      <c r="AB9" s="1001"/>
      <c r="AC9" s="1001" t="s">
        <v>1582</v>
      </c>
      <c r="AD9" s="1001"/>
      <c r="AE9" s="1001"/>
      <c r="AF9" s="1001"/>
      <c r="AG9" s="1"/>
      <c r="AH9" s="1"/>
      <c r="AI9" s="1"/>
      <c r="AJ9" s="3" t="s">
        <v>1583</v>
      </c>
    </row>
    <row r="10" spans="3:36" ht="11.25" customHeight="1">
      <c r="C10" s="1"/>
      <c r="D10" s="1"/>
      <c r="E10" s="1"/>
      <c r="F10" s="1"/>
      <c r="G10" s="13"/>
      <c r="H10" s="13"/>
      <c r="I10" s="13"/>
      <c r="J10" s="13"/>
      <c r="K10" s="13"/>
      <c r="L10" s="13"/>
      <c r="M10" s="12"/>
      <c r="N10" s="12"/>
      <c r="O10" s="12"/>
      <c r="P10" s="12"/>
      <c r="Q10" s="12"/>
      <c r="R10" s="12"/>
      <c r="S10" s="12"/>
      <c r="T10" s="12"/>
      <c r="U10" s="12"/>
      <c r="V10" s="12"/>
      <c r="W10" s="12"/>
      <c r="X10" s="12"/>
      <c r="Y10" s="12"/>
      <c r="Z10" s="12"/>
      <c r="AA10" s="12"/>
      <c r="AB10" s="12"/>
      <c r="AC10" s="12"/>
      <c r="AD10" s="12"/>
      <c r="AE10" s="12"/>
      <c r="AF10" s="12"/>
      <c r="AG10" s="1"/>
      <c r="AH10" s="1"/>
      <c r="AI10" s="1"/>
      <c r="AJ10" s="3"/>
    </row>
    <row r="11" spans="3:36" ht="20.25" customHeight="1">
      <c r="C11" s="1"/>
      <c r="D11" s="1"/>
      <c r="E11" s="1"/>
      <c r="F11" s="1"/>
      <c r="G11" s="1006" t="s">
        <v>26</v>
      </c>
      <c r="H11" s="1006"/>
      <c r="I11" s="1006"/>
      <c r="J11" s="1006"/>
      <c r="K11" s="1006"/>
      <c r="L11" s="1006"/>
      <c r="M11" s="1006"/>
      <c r="N11" s="1006"/>
      <c r="O11" s="1006"/>
      <c r="P11" s="1006"/>
      <c r="Q11" s="1006"/>
      <c r="R11" s="1006"/>
      <c r="S11" s="1006"/>
      <c r="T11" s="1006"/>
      <c r="U11" s="1006"/>
      <c r="V11" s="1006"/>
      <c r="W11" s="1006"/>
      <c r="X11" s="1006"/>
      <c r="Y11" s="1006"/>
      <c r="Z11" s="1006"/>
      <c r="AA11" s="1006"/>
      <c r="AB11" s="1006"/>
      <c r="AC11" s="1006"/>
      <c r="AD11" s="1006"/>
      <c r="AE11" s="1006"/>
      <c r="AF11" s="1006"/>
      <c r="AG11" s="1"/>
      <c r="AH11" s="1"/>
      <c r="AI11" s="1"/>
      <c r="AJ11" s="2"/>
    </row>
    <row r="12" spans="3:36">
      <c r="C12" s="1"/>
      <c r="D12" s="1"/>
      <c r="E12" s="1"/>
      <c r="F12" s="1"/>
      <c r="G12" s="1"/>
      <c r="H12" s="1"/>
      <c r="I12" s="4"/>
      <c r="J12" s="5"/>
      <c r="K12" s="6"/>
      <c r="L12" s="7"/>
      <c r="M12" s="7"/>
      <c r="N12" s="6"/>
      <c r="O12" s="7"/>
      <c r="P12" s="7"/>
      <c r="Q12" s="6"/>
      <c r="R12" s="7"/>
      <c r="S12" s="7"/>
      <c r="T12" s="6"/>
      <c r="U12" s="7"/>
      <c r="V12" s="7"/>
      <c r="W12" s="7"/>
      <c r="X12" s="1"/>
      <c r="Y12" s="1"/>
      <c r="Z12" s="1"/>
      <c r="AA12" s="1"/>
      <c r="AB12" s="1"/>
      <c r="AC12" s="1"/>
      <c r="AD12" s="1"/>
      <c r="AE12" s="1"/>
      <c r="AF12" s="1"/>
      <c r="AG12" s="1"/>
      <c r="AH12" s="1"/>
      <c r="AI12" s="1"/>
      <c r="AJ12" s="1"/>
    </row>
    <row r="13" spans="3:36">
      <c r="C13" s="1"/>
      <c r="D13" s="1"/>
      <c r="E13" s="1"/>
      <c r="F13" s="1"/>
      <c r="G13" s="1"/>
      <c r="H13" s="1"/>
      <c r="I13" s="423"/>
      <c r="J13" s="1"/>
      <c r="K13" s="1"/>
      <c r="L13" s="1"/>
      <c r="M13" s="424" t="s">
        <v>1584</v>
      </c>
      <c r="N13" s="425" t="s">
        <v>1585</v>
      </c>
      <c r="O13" s="426"/>
      <c r="P13" s="8"/>
      <c r="Q13" s="427" t="s">
        <v>1586</v>
      </c>
      <c r="R13" s="425" t="s">
        <v>1587</v>
      </c>
      <c r="S13" s="426"/>
      <c r="T13" s="8"/>
      <c r="U13" s="428" t="s">
        <v>1588</v>
      </c>
      <c r="V13" s="425" t="s">
        <v>1589</v>
      </c>
      <c r="W13" s="429"/>
      <c r="X13" s="8"/>
      <c r="Y13" s="430" t="s">
        <v>1590</v>
      </c>
      <c r="Z13" s="425" t="s">
        <v>1591</v>
      </c>
      <c r="AA13" s="8"/>
      <c r="AB13" s="1"/>
      <c r="AC13" s="1"/>
      <c r="AD13" s="1"/>
      <c r="AE13" s="1"/>
      <c r="AF13" s="1"/>
      <c r="AG13" s="1"/>
      <c r="AH13" s="1"/>
      <c r="AI13" s="1"/>
      <c r="AJ13" s="1"/>
    </row>
    <row r="14" spans="3:36">
      <c r="C14" s="1"/>
      <c r="D14" s="1"/>
      <c r="E14" s="1"/>
      <c r="F14" s="1"/>
      <c r="G14" s="1"/>
      <c r="H14" s="1"/>
      <c r="I14" s="431"/>
      <c r="J14" s="6"/>
      <c r="K14" s="5"/>
      <c r="L14" s="432"/>
      <c r="M14" s="431"/>
      <c r="N14" s="6"/>
      <c r="O14" s="431"/>
      <c r="P14" s="431"/>
      <c r="Q14" s="6"/>
      <c r="R14" s="431"/>
      <c r="S14" s="431"/>
      <c r="T14" s="6"/>
      <c r="U14" s="431"/>
      <c r="V14" s="431"/>
      <c r="W14" s="431"/>
      <c r="X14" s="1"/>
      <c r="Y14" s="1"/>
      <c r="Z14" s="1"/>
      <c r="AA14" s="1"/>
      <c r="AB14" s="1"/>
      <c r="AC14" s="1"/>
      <c r="AD14" s="1"/>
      <c r="AE14" s="1"/>
      <c r="AF14" s="1"/>
      <c r="AG14" s="1"/>
      <c r="AH14" s="1"/>
      <c r="AI14" s="1"/>
      <c r="AJ14" s="1"/>
    </row>
    <row r="15" spans="3:36">
      <c r="C15" s="1005" t="s">
        <v>1592</v>
      </c>
      <c r="D15" s="1005"/>
      <c r="E15" s="1005"/>
      <c r="F15" s="1005"/>
      <c r="G15" s="1005"/>
      <c r="H15" s="1005"/>
      <c r="I15" s="1005"/>
      <c r="J15" s="1005"/>
      <c r="K15" s="1005"/>
      <c r="L15" s="1005"/>
      <c r="M15" s="1005"/>
      <c r="N15" s="1005"/>
      <c r="O15" s="1005"/>
      <c r="P15" s="1005"/>
      <c r="Q15" s="1005"/>
      <c r="R15" s="1005"/>
      <c r="S15" s="1005"/>
      <c r="T15" s="1005"/>
      <c r="U15" s="1005"/>
      <c r="V15" s="1005"/>
      <c r="W15" s="1005"/>
      <c r="X15" s="1005"/>
      <c r="Y15" s="1005"/>
      <c r="Z15" s="1005"/>
      <c r="AA15" s="1005"/>
      <c r="AB15" s="1005"/>
      <c r="AC15" s="1005"/>
      <c r="AD15" s="1005"/>
      <c r="AE15" s="1005"/>
      <c r="AF15" s="1005"/>
      <c r="AG15" s="1005"/>
      <c r="AH15" s="1005"/>
      <c r="AI15" s="1005"/>
      <c r="AJ15" s="1005"/>
    </row>
    <row r="16" spans="3:36">
      <c r="C16" s="1"/>
      <c r="D16" s="1"/>
      <c r="E16" s="1"/>
      <c r="F16" s="1"/>
      <c r="G16" s="1"/>
      <c r="H16" s="1"/>
      <c r="I16" s="1"/>
      <c r="J16" s="1"/>
      <c r="K16" s="9"/>
      <c r="L16" s="9"/>
      <c r="M16" s="1"/>
      <c r="N16" s="1"/>
      <c r="O16" s="1"/>
      <c r="P16" s="1"/>
      <c r="Q16" s="1"/>
      <c r="R16" s="1"/>
      <c r="S16" s="1"/>
      <c r="T16" s="1"/>
      <c r="U16" s="1"/>
      <c r="V16" s="1"/>
      <c r="W16" s="1"/>
      <c r="X16" s="1"/>
      <c r="Y16" s="1"/>
      <c r="Z16" s="1"/>
      <c r="AA16" s="1"/>
      <c r="AB16" s="1"/>
      <c r="AC16" s="1"/>
      <c r="AD16" s="1"/>
      <c r="AE16" s="1"/>
      <c r="AF16" s="1"/>
      <c r="AG16" s="1"/>
      <c r="AH16" s="1"/>
      <c r="AI16" s="1"/>
      <c r="AJ16" s="1"/>
    </row>
    <row r="17" spans="3:36">
      <c r="C17" s="1"/>
      <c r="D17" s="1"/>
      <c r="E17" s="1"/>
      <c r="F17" s="1"/>
      <c r="G17" s="1"/>
      <c r="H17" s="1"/>
      <c r="I17" s="431"/>
      <c r="J17" s="6"/>
      <c r="K17" s="5"/>
      <c r="L17" s="5"/>
      <c r="M17" s="6"/>
      <c r="N17" s="6"/>
      <c r="O17" s="6"/>
      <c r="P17" s="6"/>
      <c r="Q17" s="6"/>
      <c r="R17" s="6"/>
      <c r="S17" s="6"/>
      <c r="T17" s="6"/>
      <c r="U17" s="6"/>
      <c r="V17" s="6"/>
      <c r="W17" s="6"/>
      <c r="X17" s="1"/>
      <c r="Y17" s="1"/>
      <c r="Z17" s="1"/>
      <c r="AA17" s="1"/>
      <c r="AB17" s="1"/>
      <c r="AC17" s="1"/>
      <c r="AD17" s="1"/>
      <c r="AE17" s="1"/>
      <c r="AF17" s="1"/>
      <c r="AG17" s="1"/>
      <c r="AH17" s="1"/>
      <c r="AI17" s="1"/>
      <c r="AJ17" s="1"/>
    </row>
    <row r="18" spans="3:36" ht="32.25" customHeight="1">
      <c r="C18" s="1004" t="s">
        <v>1593</v>
      </c>
      <c r="D18" s="1004"/>
      <c r="E18" s="1004"/>
      <c r="F18" s="1004"/>
      <c r="G18" s="1004"/>
      <c r="H18" s="1004"/>
      <c r="I18" s="1004"/>
      <c r="J18" s="1004"/>
      <c r="K18" s="1004"/>
      <c r="L18" s="1004"/>
      <c r="M18" s="1004"/>
      <c r="N18" s="1004"/>
      <c r="O18" s="1004"/>
      <c r="P18" s="1004"/>
      <c r="Q18" s="1004"/>
      <c r="R18" s="1004"/>
      <c r="S18" s="1004"/>
      <c r="T18" s="1004"/>
      <c r="U18" s="1004"/>
      <c r="V18" s="1004"/>
      <c r="W18" s="1004"/>
      <c r="X18" s="1004"/>
      <c r="Y18" s="1004"/>
      <c r="Z18" s="1004"/>
      <c r="AA18" s="1004"/>
      <c r="AB18" s="1004"/>
      <c r="AC18" s="1004"/>
      <c r="AD18" s="1004"/>
      <c r="AE18" s="1004"/>
      <c r="AF18" s="1004"/>
      <c r="AG18" s="1004"/>
      <c r="AH18" s="1004"/>
      <c r="AI18" s="1004"/>
      <c r="AJ18" s="1004"/>
    </row>
    <row r="19" spans="3:36">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3:36">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sheetData>
  <mergeCells count="40">
    <mergeCell ref="AC4:AF4"/>
    <mergeCell ref="G5:L5"/>
    <mergeCell ref="M5:P5"/>
    <mergeCell ref="Q5:T5"/>
    <mergeCell ref="U5:X5"/>
    <mergeCell ref="Y5:AB5"/>
    <mergeCell ref="AC5:AF5"/>
    <mergeCell ref="G4:L4"/>
    <mergeCell ref="M4:P4"/>
    <mergeCell ref="Q4:T4"/>
    <mergeCell ref="U4:X4"/>
    <mergeCell ref="Y4:AB4"/>
    <mergeCell ref="Y8:AB8"/>
    <mergeCell ref="G11:AF11"/>
    <mergeCell ref="G6:L6"/>
    <mergeCell ref="M6:P6"/>
    <mergeCell ref="Q6:T6"/>
    <mergeCell ref="U6:X6"/>
    <mergeCell ref="G8:L8"/>
    <mergeCell ref="M8:P8"/>
    <mergeCell ref="Q8:T8"/>
    <mergeCell ref="M7:P7"/>
    <mergeCell ref="Q7:T7"/>
    <mergeCell ref="U7:X7"/>
    <mergeCell ref="C15:AJ15"/>
    <mergeCell ref="C18:AJ18"/>
    <mergeCell ref="G9:L9"/>
    <mergeCell ref="M9:P9"/>
    <mergeCell ref="Q9:T9"/>
    <mergeCell ref="U9:X9"/>
    <mergeCell ref="Y9:AB9"/>
    <mergeCell ref="AC9:AF9"/>
    <mergeCell ref="E4:E9"/>
    <mergeCell ref="AC8:AF8"/>
    <mergeCell ref="Y6:AB6"/>
    <mergeCell ref="AC6:AF6"/>
    <mergeCell ref="G7:L7"/>
    <mergeCell ref="Y7:AB7"/>
    <mergeCell ref="AC7:AF7"/>
    <mergeCell ref="U8:X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6" sqref="A6"/>
    </sheetView>
  </sheetViews>
  <sheetFormatPr baseColWidth="10" defaultColWidth="11.42578125" defaultRowHeight="15"/>
  <cols>
    <col min="1" max="1" width="73" customWidth="1"/>
  </cols>
  <sheetData>
    <row r="1" spans="1:1" ht="60">
      <c r="A1" s="216" t="s">
        <v>841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W255"/>
  <sheetViews>
    <sheetView showGridLines="0" topLeftCell="A6" zoomScale="70" zoomScaleNormal="70" zoomScaleSheetLayoutView="50" workbookViewId="0">
      <pane ySplit="1" topLeftCell="A56" activePane="bottomLeft" state="frozen"/>
      <selection activeCell="A6" sqref="A6"/>
      <selection pane="bottomLeft" activeCell="AH56" sqref="A56:AH59"/>
    </sheetView>
  </sheetViews>
  <sheetFormatPr baseColWidth="10" defaultColWidth="11.42578125" defaultRowHeight="15"/>
  <cols>
    <col min="1" max="1" width="4.85546875" style="16" customWidth="1"/>
    <col min="2" max="2" width="23.7109375" style="45" customWidth="1"/>
    <col min="3" max="3" width="38.28515625" style="15" customWidth="1"/>
    <col min="4" max="4" width="32.140625" style="17" customWidth="1"/>
    <col min="5" max="5" width="25.5703125" style="17" customWidth="1"/>
    <col min="6" max="6" width="23" style="17" customWidth="1"/>
    <col min="7" max="7" width="27.7109375" style="15" customWidth="1"/>
    <col min="8" max="8" width="16.140625" style="15" customWidth="1"/>
    <col min="9" max="9" width="17" style="15" customWidth="1"/>
    <col min="10" max="10" width="15.5703125" style="15" customWidth="1"/>
    <col min="11" max="11" width="17.28515625" style="15" customWidth="1"/>
    <col min="12" max="12" width="14.42578125" style="15" customWidth="1"/>
    <col min="13" max="13" width="16.85546875" style="15" customWidth="1"/>
    <col min="14" max="14" width="15" style="15" customWidth="1"/>
    <col min="15" max="15" width="24.85546875" style="15" customWidth="1"/>
    <col min="16" max="16" width="13.7109375" style="15" customWidth="1"/>
    <col min="17" max="17" width="15.140625" style="15" customWidth="1"/>
    <col min="18" max="18" width="19.5703125" style="15" customWidth="1"/>
    <col min="19" max="19" width="17.85546875" style="15" customWidth="1"/>
    <col min="20" max="20" width="13" style="15" customWidth="1"/>
    <col min="21" max="21" width="13.28515625" style="15" customWidth="1"/>
    <col min="22" max="22" width="16" style="15" customWidth="1"/>
    <col min="23" max="23" width="14.42578125" style="15" customWidth="1"/>
    <col min="24" max="24" width="13" style="15" customWidth="1"/>
    <col min="25" max="25" width="13.7109375" style="15" customWidth="1"/>
    <col min="26" max="26" width="13.28515625" style="15" customWidth="1"/>
    <col min="27" max="27" width="16" style="15" customWidth="1"/>
    <col min="28" max="28" width="9.28515625" style="18" customWidth="1"/>
    <col min="29" max="29" width="1.7109375" style="18" hidden="1" customWidth="1"/>
    <col min="30" max="30" width="12.42578125" style="18" customWidth="1"/>
    <col min="31" max="31" width="8.5703125" style="18" hidden="1" customWidth="1"/>
    <col min="32" max="32" width="10.140625" style="18" customWidth="1"/>
    <col min="33" max="33" width="69.28515625" style="15" customWidth="1"/>
    <col min="34" max="34" width="28.7109375" style="15" customWidth="1"/>
    <col min="35" max="35" width="16.42578125" style="15" customWidth="1"/>
    <col min="36" max="36" width="17.5703125" style="15" customWidth="1"/>
    <col min="37" max="37" width="9" style="15" hidden="1" customWidth="1"/>
    <col min="38" max="38" width="22.85546875" style="15" customWidth="1"/>
    <col min="39" max="39" width="6.42578125" style="15" hidden="1" customWidth="1"/>
    <col min="40" max="40" width="28.140625" style="15" customWidth="1"/>
    <col min="41" max="41" width="6.7109375" style="15" hidden="1" customWidth="1"/>
    <col min="42" max="42" width="34" style="15" customWidth="1"/>
    <col min="43" max="43" width="6.7109375" style="15" hidden="1" customWidth="1"/>
    <col min="44" max="44" width="24.140625" style="15" customWidth="1"/>
    <col min="45" max="45" width="6.7109375" style="15" hidden="1" customWidth="1"/>
    <col min="46" max="46" width="27.85546875" style="15" customWidth="1"/>
    <col min="47" max="47" width="6.7109375" style="15" hidden="1" customWidth="1"/>
    <col min="48" max="48" width="23.85546875" style="15" customWidth="1"/>
    <col min="49" max="49" width="6.7109375" style="15" hidden="1" customWidth="1"/>
    <col min="50" max="50" width="15.85546875" style="15" customWidth="1"/>
    <col min="51" max="51" width="18.5703125" style="15" customWidth="1"/>
    <col min="52" max="53" width="20.5703125" style="15" customWidth="1"/>
    <col min="54" max="56" width="15.5703125" style="15" customWidth="1"/>
    <col min="57" max="57" width="18.85546875" style="15" customWidth="1"/>
    <col min="58" max="58" width="15.5703125" style="15" hidden="1" customWidth="1"/>
    <col min="59" max="59" width="6.7109375" style="15" hidden="1" customWidth="1"/>
    <col min="60" max="60" width="22.28515625" style="18" customWidth="1"/>
    <col min="61" max="61" width="15.85546875" style="18" customWidth="1"/>
    <col min="62" max="62" width="19.42578125" style="15" customWidth="1"/>
    <col min="63" max="63" width="17.140625" style="15" customWidth="1"/>
    <col min="64" max="64" width="36.85546875" style="31" customWidth="1"/>
    <col min="65" max="65" width="18.85546875" style="31" customWidth="1"/>
    <col min="66" max="66" width="11.42578125" style="31"/>
    <col min="67" max="67" width="12" style="31" bestFit="1" customWidth="1"/>
    <col min="68" max="68" width="18.140625" style="31" customWidth="1"/>
    <col min="69" max="69" width="21.140625" style="31" customWidth="1"/>
    <col min="70" max="70" width="105.7109375" customWidth="1"/>
    <col min="71" max="72" width="27.85546875" customWidth="1"/>
    <col min="73" max="75" width="27" customWidth="1"/>
    <col min="76" max="76" width="32.5703125" customWidth="1"/>
  </cols>
  <sheetData>
    <row r="1" spans="1:75" ht="30" customHeight="1" thickTop="1">
      <c r="A1" s="886" t="s">
        <v>0</v>
      </c>
      <c r="B1" s="887"/>
      <c r="C1" s="887"/>
      <c r="D1" s="887"/>
      <c r="E1" s="898" t="s">
        <v>842</v>
      </c>
      <c r="F1" s="899"/>
      <c r="G1" s="899"/>
      <c r="H1" s="899"/>
      <c r="I1" s="899"/>
      <c r="J1" s="899"/>
      <c r="K1" s="899"/>
      <c r="L1" s="899"/>
      <c r="M1" s="899"/>
      <c r="N1" s="899"/>
      <c r="O1" s="899"/>
      <c r="P1" s="899"/>
      <c r="Q1" s="899"/>
      <c r="R1" s="899"/>
      <c r="S1" s="899"/>
      <c r="T1" s="899"/>
      <c r="U1" s="899"/>
      <c r="V1" s="899"/>
      <c r="W1" s="899"/>
      <c r="X1" s="899"/>
      <c r="Y1" s="899"/>
      <c r="Z1" s="899"/>
      <c r="AA1" s="899"/>
      <c r="AB1" s="899"/>
      <c r="AC1" s="899"/>
      <c r="AD1" s="899"/>
      <c r="AE1" s="899"/>
      <c r="AF1" s="899"/>
      <c r="AG1" s="899"/>
      <c r="AH1" s="899"/>
      <c r="AI1" s="899"/>
      <c r="AJ1" s="899"/>
      <c r="AK1" s="899"/>
      <c r="AL1" s="899"/>
      <c r="AM1" s="899"/>
      <c r="AN1" s="899"/>
      <c r="AO1" s="899"/>
      <c r="AP1" s="899"/>
      <c r="AQ1" s="899"/>
      <c r="AR1" s="899"/>
      <c r="AS1" s="899"/>
      <c r="AT1" s="899"/>
      <c r="AU1" s="899"/>
      <c r="AV1" s="899"/>
      <c r="AW1" s="899"/>
      <c r="AX1" s="899"/>
      <c r="AY1" s="899"/>
      <c r="AZ1" s="899"/>
      <c r="BA1" s="899"/>
      <c r="BB1" s="899"/>
      <c r="BC1" s="899"/>
      <c r="BD1" s="899"/>
      <c r="BE1" s="899"/>
      <c r="BF1" s="899"/>
      <c r="BG1" s="899"/>
      <c r="BH1" s="899"/>
      <c r="BI1" s="899"/>
      <c r="BJ1" s="899"/>
      <c r="BK1" s="899"/>
      <c r="BL1" s="899"/>
      <c r="BM1" s="899"/>
      <c r="BN1" s="899"/>
      <c r="BO1" s="899"/>
      <c r="BP1" s="899"/>
      <c r="BQ1" s="899"/>
      <c r="BR1" s="899"/>
      <c r="BS1" s="899"/>
      <c r="BT1" s="899"/>
      <c r="BU1" s="899"/>
      <c r="BV1" s="899"/>
      <c r="BW1" s="900"/>
    </row>
    <row r="2" spans="1:75" ht="33.75" customHeight="1">
      <c r="A2" s="888"/>
      <c r="B2" s="889"/>
      <c r="C2" s="889"/>
      <c r="D2" s="889"/>
      <c r="E2" s="901"/>
      <c r="F2" s="902"/>
      <c r="G2" s="902"/>
      <c r="H2" s="902"/>
      <c r="I2" s="902"/>
      <c r="J2" s="902"/>
      <c r="K2" s="902"/>
      <c r="L2" s="902"/>
      <c r="M2" s="902"/>
      <c r="N2" s="902"/>
      <c r="O2" s="902"/>
      <c r="P2" s="902"/>
      <c r="Q2" s="902"/>
      <c r="R2" s="902"/>
      <c r="S2" s="902"/>
      <c r="T2" s="902"/>
      <c r="U2" s="902"/>
      <c r="V2" s="902"/>
      <c r="W2" s="902"/>
      <c r="X2" s="902"/>
      <c r="Y2" s="902"/>
      <c r="Z2" s="902"/>
      <c r="AA2" s="902"/>
      <c r="AB2" s="902"/>
      <c r="AC2" s="902"/>
      <c r="AD2" s="902"/>
      <c r="AE2" s="902"/>
      <c r="AF2" s="902"/>
      <c r="AG2" s="902"/>
      <c r="AH2" s="902"/>
      <c r="AI2" s="902"/>
      <c r="AJ2" s="902"/>
      <c r="AK2" s="902"/>
      <c r="AL2" s="902"/>
      <c r="AM2" s="902"/>
      <c r="AN2" s="902"/>
      <c r="AO2" s="902"/>
      <c r="AP2" s="902"/>
      <c r="AQ2" s="902"/>
      <c r="AR2" s="902"/>
      <c r="AS2" s="902"/>
      <c r="AT2" s="902"/>
      <c r="AU2" s="902"/>
      <c r="AV2" s="902"/>
      <c r="AW2" s="902"/>
      <c r="AX2" s="902"/>
      <c r="AY2" s="902"/>
      <c r="AZ2" s="902"/>
      <c r="BA2" s="902"/>
      <c r="BB2" s="902"/>
      <c r="BC2" s="902"/>
      <c r="BD2" s="902"/>
      <c r="BE2" s="902"/>
      <c r="BF2" s="902"/>
      <c r="BG2" s="902"/>
      <c r="BH2" s="902"/>
      <c r="BI2" s="902"/>
      <c r="BJ2" s="902"/>
      <c r="BK2" s="902"/>
      <c r="BL2" s="902"/>
      <c r="BM2" s="902"/>
      <c r="BN2" s="902"/>
      <c r="BO2" s="902"/>
      <c r="BP2" s="902"/>
      <c r="BQ2" s="902"/>
      <c r="BR2" s="902"/>
      <c r="BS2" s="902"/>
      <c r="BT2" s="902"/>
      <c r="BU2" s="902"/>
      <c r="BV2" s="902"/>
      <c r="BW2" s="903"/>
    </row>
    <row r="3" spans="1:75" ht="40.5" customHeight="1" thickBot="1">
      <c r="A3" s="890"/>
      <c r="B3" s="891"/>
      <c r="C3" s="891"/>
      <c r="D3" s="891"/>
      <c r="E3" s="904"/>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905"/>
      <c r="AJ3" s="905"/>
      <c r="AK3" s="905"/>
      <c r="AL3" s="905"/>
      <c r="AM3" s="905"/>
      <c r="AN3" s="905"/>
      <c r="AO3" s="905"/>
      <c r="AP3" s="905"/>
      <c r="AQ3" s="905"/>
      <c r="AR3" s="905"/>
      <c r="AS3" s="905"/>
      <c r="AT3" s="905"/>
      <c r="AU3" s="905"/>
      <c r="AV3" s="905"/>
      <c r="AW3" s="905"/>
      <c r="AX3" s="905"/>
      <c r="AY3" s="905"/>
      <c r="AZ3" s="905"/>
      <c r="BA3" s="905"/>
      <c r="BB3" s="905"/>
      <c r="BC3" s="905"/>
      <c r="BD3" s="905"/>
      <c r="BE3" s="905"/>
      <c r="BF3" s="905"/>
      <c r="BG3" s="905"/>
      <c r="BH3" s="905"/>
      <c r="BI3" s="905"/>
      <c r="BJ3" s="905"/>
      <c r="BK3" s="905"/>
      <c r="BL3" s="905"/>
      <c r="BM3" s="905"/>
      <c r="BN3" s="905"/>
      <c r="BO3" s="905"/>
      <c r="BP3" s="905"/>
      <c r="BQ3" s="905"/>
      <c r="BR3" s="905"/>
      <c r="BS3" s="905"/>
      <c r="BT3" s="905"/>
      <c r="BU3" s="905"/>
      <c r="BV3" s="905"/>
      <c r="BW3" s="906"/>
    </row>
    <row r="4" spans="1:75" ht="19.5" customHeight="1">
      <c r="A4" s="619" t="s">
        <v>2</v>
      </c>
      <c r="B4" s="620"/>
      <c r="C4" s="620"/>
      <c r="D4" s="620"/>
      <c r="E4" s="620"/>
      <c r="F4" s="620"/>
      <c r="G4" s="620"/>
      <c r="H4" s="620" t="s">
        <v>843</v>
      </c>
      <c r="I4" s="620"/>
      <c r="J4" s="620"/>
      <c r="K4" s="620"/>
      <c r="L4" s="620"/>
      <c r="M4" s="620"/>
      <c r="N4" s="620"/>
      <c r="O4" s="620"/>
      <c r="P4" s="620"/>
      <c r="Q4" s="620"/>
      <c r="R4" s="620"/>
      <c r="S4" s="620"/>
      <c r="T4" s="620"/>
      <c r="U4" s="620"/>
      <c r="V4" s="620"/>
      <c r="W4" s="620"/>
      <c r="X4" s="620"/>
      <c r="Y4" s="620"/>
      <c r="Z4" s="620"/>
      <c r="AA4" s="620"/>
      <c r="AB4" s="620"/>
      <c r="AC4" s="620"/>
      <c r="AD4" s="620"/>
      <c r="AE4" s="620"/>
      <c r="AF4" s="620"/>
      <c r="AG4" s="620"/>
      <c r="AH4" s="620"/>
      <c r="AI4" s="620"/>
      <c r="AJ4" s="620"/>
      <c r="AK4" s="620"/>
      <c r="AL4" s="620"/>
      <c r="AM4" s="620"/>
      <c r="AN4" s="620"/>
      <c r="AO4" s="620"/>
      <c r="AP4" s="620"/>
      <c r="AQ4" s="620"/>
      <c r="AR4" s="620"/>
      <c r="AS4" s="620"/>
      <c r="AT4" s="620"/>
      <c r="AU4" s="620"/>
      <c r="AV4" s="620"/>
      <c r="AW4" s="620"/>
      <c r="AX4" s="620"/>
      <c r="AY4" s="620"/>
      <c r="AZ4" s="620"/>
      <c r="BA4" s="620"/>
      <c r="BB4" s="620"/>
      <c r="BC4" s="620"/>
      <c r="BD4" s="620"/>
      <c r="BE4" s="620"/>
      <c r="BF4" s="620"/>
      <c r="BG4" s="620"/>
      <c r="BH4" s="620"/>
      <c r="BI4" s="620"/>
      <c r="BJ4" s="620"/>
      <c r="BK4" s="912" t="s">
        <v>5</v>
      </c>
      <c r="BL4" s="620" t="s">
        <v>6</v>
      </c>
      <c r="BM4" s="620"/>
      <c r="BN4" s="620"/>
      <c r="BO4" s="620"/>
      <c r="BP4" s="620"/>
      <c r="BQ4" s="620"/>
      <c r="BR4" s="907" t="s">
        <v>7</v>
      </c>
      <c r="BS4" s="620"/>
      <c r="BT4" s="620"/>
      <c r="BU4" s="907" t="s">
        <v>8</v>
      </c>
      <c r="BV4" s="620"/>
      <c r="BW4" s="908"/>
    </row>
    <row r="5" spans="1:75" ht="29.25" customHeight="1" thickBot="1">
      <c r="A5" s="911"/>
      <c r="B5" s="909"/>
      <c r="C5" s="909"/>
      <c r="D5" s="909"/>
      <c r="E5" s="909"/>
      <c r="F5" s="909"/>
      <c r="G5" s="909"/>
      <c r="H5" s="909" t="s">
        <v>844</v>
      </c>
      <c r="I5" s="909"/>
      <c r="J5" s="909"/>
      <c r="K5" s="909"/>
      <c r="L5" s="909"/>
      <c r="M5" s="909"/>
      <c r="N5" s="909"/>
      <c r="O5" s="909"/>
      <c r="P5" s="909"/>
      <c r="Q5" s="909"/>
      <c r="R5" s="909"/>
      <c r="S5" s="909"/>
      <c r="T5" s="909"/>
      <c r="U5" s="909"/>
      <c r="V5" s="909"/>
      <c r="W5" s="909"/>
      <c r="X5" s="909"/>
      <c r="Y5" s="909"/>
      <c r="Z5" s="909"/>
      <c r="AA5" s="909"/>
      <c r="AB5" s="913" t="s">
        <v>9</v>
      </c>
      <c r="AC5" s="913"/>
      <c r="AD5" s="913"/>
      <c r="AE5" s="913"/>
      <c r="AF5" s="913"/>
      <c r="AG5" s="892" t="s">
        <v>10</v>
      </c>
      <c r="AH5" s="893"/>
      <c r="AI5" s="894"/>
      <c r="AJ5" s="892" t="s">
        <v>11</v>
      </c>
      <c r="AK5" s="893"/>
      <c r="AL5" s="893"/>
      <c r="AM5" s="893"/>
      <c r="AN5" s="893"/>
      <c r="AO5" s="893"/>
      <c r="AP5" s="893"/>
      <c r="AQ5" s="893"/>
      <c r="AR5" s="893"/>
      <c r="AS5" s="893"/>
      <c r="AT5" s="893"/>
      <c r="AU5" s="893"/>
      <c r="AV5" s="893"/>
      <c r="AW5" s="893"/>
      <c r="AX5" s="893"/>
      <c r="AY5" s="894"/>
      <c r="AZ5" s="895" t="s">
        <v>12</v>
      </c>
      <c r="BA5" s="896"/>
      <c r="BB5" s="895" t="s">
        <v>13</v>
      </c>
      <c r="BC5" s="897"/>
      <c r="BD5" s="895" t="s">
        <v>14</v>
      </c>
      <c r="BE5" s="897"/>
      <c r="BF5" s="278"/>
      <c r="BG5" s="278"/>
      <c r="BH5" s="913" t="s">
        <v>15</v>
      </c>
      <c r="BI5" s="913"/>
      <c r="BJ5" s="913"/>
      <c r="BK5" s="895"/>
      <c r="BL5" s="909"/>
      <c r="BM5" s="909"/>
      <c r="BN5" s="909"/>
      <c r="BO5" s="909"/>
      <c r="BP5" s="909"/>
      <c r="BQ5" s="909"/>
      <c r="BR5" s="909"/>
      <c r="BS5" s="909"/>
      <c r="BT5" s="909"/>
      <c r="BU5" s="909"/>
      <c r="BV5" s="909"/>
      <c r="BW5" s="910"/>
    </row>
    <row r="6" spans="1:75" ht="99" customHeight="1" thickBot="1">
      <c r="A6" s="109" t="s">
        <v>16</v>
      </c>
      <c r="B6" s="108" t="s">
        <v>17</v>
      </c>
      <c r="C6" s="108" t="s">
        <v>18</v>
      </c>
      <c r="D6" s="108" t="s">
        <v>19</v>
      </c>
      <c r="E6" s="108" t="s">
        <v>22</v>
      </c>
      <c r="F6" s="108" t="s">
        <v>23</v>
      </c>
      <c r="G6" s="108" t="s">
        <v>24</v>
      </c>
      <c r="H6" s="108" t="s">
        <v>845</v>
      </c>
      <c r="I6" s="108" t="s">
        <v>846</v>
      </c>
      <c r="J6" s="108" t="s">
        <v>847</v>
      </c>
      <c r="K6" s="108" t="s">
        <v>848</v>
      </c>
      <c r="L6" s="108" t="s">
        <v>849</v>
      </c>
      <c r="M6" s="108" t="s">
        <v>850</v>
      </c>
      <c r="N6" s="108" t="s">
        <v>851</v>
      </c>
      <c r="O6" s="108" t="s">
        <v>852</v>
      </c>
      <c r="P6" s="108" t="s">
        <v>853</v>
      </c>
      <c r="Q6" s="108" t="s">
        <v>854</v>
      </c>
      <c r="R6" s="108" t="s">
        <v>855</v>
      </c>
      <c r="S6" s="108" t="s">
        <v>856</v>
      </c>
      <c r="T6" s="108" t="s">
        <v>857</v>
      </c>
      <c r="U6" s="108" t="s">
        <v>858</v>
      </c>
      <c r="V6" s="108" t="s">
        <v>859</v>
      </c>
      <c r="W6" s="108" t="s">
        <v>860</v>
      </c>
      <c r="X6" s="108" t="s">
        <v>861</v>
      </c>
      <c r="Y6" s="108" t="s">
        <v>862</v>
      </c>
      <c r="Z6" s="108" t="s">
        <v>863</v>
      </c>
      <c r="AA6" s="108" t="s">
        <v>864</v>
      </c>
      <c r="AB6" s="110" t="s">
        <v>25</v>
      </c>
      <c r="AC6" s="110"/>
      <c r="AD6" s="110" t="s">
        <v>26</v>
      </c>
      <c r="AE6" s="110"/>
      <c r="AF6" s="110" t="s">
        <v>27</v>
      </c>
      <c r="AG6" s="108" t="s">
        <v>28</v>
      </c>
      <c r="AH6" s="108" t="s">
        <v>29</v>
      </c>
      <c r="AI6" s="108" t="s">
        <v>30</v>
      </c>
      <c r="AJ6" s="108" t="s">
        <v>31</v>
      </c>
      <c r="AK6" s="108"/>
      <c r="AL6" s="108" t="s">
        <v>32</v>
      </c>
      <c r="AM6" s="108"/>
      <c r="AN6" s="108" t="s">
        <v>33</v>
      </c>
      <c r="AO6" s="108"/>
      <c r="AP6" s="108" t="s">
        <v>34</v>
      </c>
      <c r="AQ6" s="108"/>
      <c r="AR6" s="108" t="s">
        <v>35</v>
      </c>
      <c r="AS6" s="108"/>
      <c r="AT6" s="108" t="s">
        <v>36</v>
      </c>
      <c r="AU6" s="108"/>
      <c r="AV6" s="108" t="s">
        <v>37</v>
      </c>
      <c r="AW6" s="108"/>
      <c r="AX6" s="108" t="s">
        <v>38</v>
      </c>
      <c r="AY6" s="108" t="s">
        <v>39</v>
      </c>
      <c r="AZ6" s="108" t="s">
        <v>40</v>
      </c>
      <c r="BA6" s="108" t="s">
        <v>41</v>
      </c>
      <c r="BB6" s="108" t="s">
        <v>42</v>
      </c>
      <c r="BC6" s="108" t="s">
        <v>43</v>
      </c>
      <c r="BD6" s="108" t="s">
        <v>44</v>
      </c>
      <c r="BE6" s="108" t="s">
        <v>45</v>
      </c>
      <c r="BF6" s="108" t="s">
        <v>46</v>
      </c>
      <c r="BG6" s="108"/>
      <c r="BH6" s="108" t="s">
        <v>25</v>
      </c>
      <c r="BI6" s="108" t="s">
        <v>26</v>
      </c>
      <c r="BJ6" s="108" t="s">
        <v>27</v>
      </c>
      <c r="BK6" s="111" t="s">
        <v>48</v>
      </c>
      <c r="BL6" s="108" t="s">
        <v>49</v>
      </c>
      <c r="BM6" s="108" t="s">
        <v>50</v>
      </c>
      <c r="BN6" s="108" t="s">
        <v>51</v>
      </c>
      <c r="BO6" s="108" t="s">
        <v>52</v>
      </c>
      <c r="BP6" s="108" t="s">
        <v>53</v>
      </c>
      <c r="BQ6" s="108" t="s">
        <v>54</v>
      </c>
      <c r="BR6" s="108" t="s">
        <v>55</v>
      </c>
      <c r="BS6" s="108" t="s">
        <v>56</v>
      </c>
      <c r="BT6" s="108" t="s">
        <v>57</v>
      </c>
      <c r="BU6" s="108" t="s">
        <v>58</v>
      </c>
      <c r="BV6" s="108" t="s">
        <v>59</v>
      </c>
      <c r="BW6" s="112" t="s">
        <v>60</v>
      </c>
    </row>
    <row r="7" spans="1:75" ht="285.75" thickBot="1">
      <c r="A7" s="914">
        <v>1</v>
      </c>
      <c r="B7" s="571" t="s">
        <v>61</v>
      </c>
      <c r="C7" s="632" t="s">
        <v>865</v>
      </c>
      <c r="D7" s="571" t="s">
        <v>866</v>
      </c>
      <c r="E7" s="113" t="s">
        <v>867</v>
      </c>
      <c r="F7" s="114" t="s">
        <v>67</v>
      </c>
      <c r="G7" s="115" t="s">
        <v>868</v>
      </c>
      <c r="H7" s="571" t="s">
        <v>73</v>
      </c>
      <c r="I7" s="571" t="s">
        <v>73</v>
      </c>
      <c r="J7" s="571" t="s">
        <v>73</v>
      </c>
      <c r="K7" s="571" t="s">
        <v>869</v>
      </c>
      <c r="L7" s="571" t="s">
        <v>73</v>
      </c>
      <c r="M7" s="571" t="s">
        <v>869</v>
      </c>
      <c r="N7" s="571" t="s">
        <v>73</v>
      </c>
      <c r="O7" s="571" t="s">
        <v>869</v>
      </c>
      <c r="P7" s="571" t="s">
        <v>73</v>
      </c>
      <c r="Q7" s="571" t="s">
        <v>73</v>
      </c>
      <c r="R7" s="571" t="s">
        <v>73</v>
      </c>
      <c r="S7" s="571" t="s">
        <v>73</v>
      </c>
      <c r="T7" s="571" t="s">
        <v>73</v>
      </c>
      <c r="U7" s="571" t="s">
        <v>73</v>
      </c>
      <c r="V7" s="571" t="s">
        <v>73</v>
      </c>
      <c r="W7" s="571" t="s">
        <v>869</v>
      </c>
      <c r="X7" s="571" t="s">
        <v>73</v>
      </c>
      <c r="Y7" s="571" t="s">
        <v>73</v>
      </c>
      <c r="Z7" s="571" t="s">
        <v>869</v>
      </c>
      <c r="AA7" s="632">
        <f>COUNTIF(H7:Z7, "SI")</f>
        <v>14</v>
      </c>
      <c r="AB7" s="571" t="s">
        <v>412</v>
      </c>
      <c r="AC7" s="632">
        <f>+VLOOKUP(AB7,Listados!$K$8:$L$12,2,0)</f>
        <v>1</v>
      </c>
      <c r="AD7" s="632" t="str">
        <f>++IF(OR(AA7=0),"",IF(OR(AA7=1,AA7&lt;=5),"Moderado",IF(OR(AA7=6,AA7&lt;=11),"Mayor",IF(OR(AA7&gt;=12),"Catastrófico",""))))</f>
        <v>Catastrófico</v>
      </c>
      <c r="AE7" s="632">
        <f>+VLOOKUP(AD7,Listados!$K$13:$L$17,2,0)</f>
        <v>5</v>
      </c>
      <c r="AF7" s="632" t="str">
        <f>IF(AND(AB7&lt;&gt;"",AD7&lt;&gt;""),VLOOKUP(AB7&amp;AD7,[3]Listados!$M$3:$N$27,2,FALSE),"")</f>
        <v>Extremo</v>
      </c>
      <c r="AG7" s="116" t="s">
        <v>870</v>
      </c>
      <c r="AH7" s="117" t="s">
        <v>867</v>
      </c>
      <c r="AI7" s="94" t="s">
        <v>72</v>
      </c>
      <c r="AJ7" s="94" t="s">
        <v>73</v>
      </c>
      <c r="AK7" s="93">
        <f>+IF(AJ7="si",15,"0")</f>
        <v>15</v>
      </c>
      <c r="AL7" s="94" t="s">
        <v>73</v>
      </c>
      <c r="AM7" s="93">
        <f>+IF(AL7="si",15,"0")</f>
        <v>15</v>
      </c>
      <c r="AN7" s="94" t="s">
        <v>73</v>
      </c>
      <c r="AO7" s="93">
        <f>+IF(AN7="si",15,"0")</f>
        <v>15</v>
      </c>
      <c r="AP7" s="94" t="s">
        <v>72</v>
      </c>
      <c r="AQ7" s="93">
        <f>+IF(AP7="Preventivo",15,IF(AP7="Detectivo",10,"0"))</f>
        <v>15</v>
      </c>
      <c r="AR7" s="94" t="s">
        <v>73</v>
      </c>
      <c r="AS7" s="93">
        <f>+IF(AR7="si",15,"0")</f>
        <v>15</v>
      </c>
      <c r="AT7" s="94" t="s">
        <v>73</v>
      </c>
      <c r="AU7" s="93">
        <f>+IF(AT7="si",15,"0")</f>
        <v>15</v>
      </c>
      <c r="AV7" s="94" t="s">
        <v>74</v>
      </c>
      <c r="AW7" s="93">
        <f>+IF(AV7="Completa",10,IF(AV7="Incompleta",5,"0"))</f>
        <v>10</v>
      </c>
      <c r="AX7" s="96">
        <f>IF((SUM(AK7,AM7,AO7,AQ7,AS7,AU7,AW7)=0),"",(SUM(AK7,AM7,AO7,AQ7,AS7,AU7,AW7)))</f>
        <v>100</v>
      </c>
      <c r="AY7" s="96" t="str">
        <f>IF(AX7&lt;=85,"Débil",IF(AX7&lt;=95,"Moderado",IF(AX7=100,"Fuerte","")))</f>
        <v>Fuerte</v>
      </c>
      <c r="AZ7" s="118" t="s">
        <v>75</v>
      </c>
      <c r="BA7" s="119" t="str">
        <f>+IF(AZ7="siempre","Fuerte",IF(AZ7="Algunas veces","Moderado",IF(AZ7="No se ejecuta","Débil","")))</f>
        <v>Fuerte</v>
      </c>
      <c r="BB7" s="119" t="str">
        <f>IFERROR(VLOOKUP((CONCATENATE(AY7,BA7)),Listados!$U$3:$V$11,2,FALSE),"")</f>
        <v>Fuerte</v>
      </c>
      <c r="BC7" s="119">
        <f>IF(BB7="","",IF(BB7="Débil", 0, IF(BB7="Moderado",50,100)))</f>
        <v>100</v>
      </c>
      <c r="BD7" s="566">
        <f>AVERAGE(BC7:BC10)</f>
        <v>100</v>
      </c>
      <c r="BE7" s="566" t="str">
        <f>IF(BD7&lt;=50,"Débil",IF(BD7&lt;=99,"Moderado",IF(BD7=100,"fuerte","")))</f>
        <v>fuerte</v>
      </c>
      <c r="BF7" s="566">
        <f>+IF(AND(AI7="Preventivo",BE7="Fuerte"),2,IF(AND(AI7="Preventivo",BE7="Moderado"),1,0))</f>
        <v>2</v>
      </c>
      <c r="BG7" s="566">
        <f>+AC7-BF7</f>
        <v>-1</v>
      </c>
      <c r="BH7" s="632" t="str">
        <f>+VLOOKUP(MIN(BG7),Listados!$J$18:$K$24,2,TRUE)</f>
        <v>Rara Vez</v>
      </c>
      <c r="BI7" s="632" t="str">
        <f>AD7</f>
        <v>Catastrófico</v>
      </c>
      <c r="BJ7" s="632" t="str">
        <f>IF(AND(BH7&lt;&gt;"",BI7&lt;&gt;""),VLOOKUP(BH7&amp;BI7,Listados!$M$3:$N$27,2,FALSE),"")</f>
        <v>Extremo</v>
      </c>
      <c r="BK7" s="632" t="str">
        <f>+VLOOKUP(BJ7,Listados!$P$3:$Q$6,2,FALSE)</f>
        <v>Reducir el riesgo</v>
      </c>
      <c r="BL7" s="120" t="s">
        <v>871</v>
      </c>
      <c r="BM7" s="121" t="s">
        <v>110</v>
      </c>
      <c r="BN7" s="122">
        <v>45689</v>
      </c>
      <c r="BO7" s="123">
        <v>45991</v>
      </c>
      <c r="BP7" s="121" t="s">
        <v>872</v>
      </c>
      <c r="BQ7" s="121" t="s">
        <v>873</v>
      </c>
      <c r="BR7" s="120" t="s">
        <v>874</v>
      </c>
      <c r="BS7" s="789"/>
      <c r="BT7" s="846"/>
      <c r="BU7" s="933"/>
      <c r="BV7" s="846"/>
      <c r="BW7" s="650"/>
    </row>
    <row r="8" spans="1:75" ht="157.5" customHeight="1">
      <c r="A8" s="915"/>
      <c r="B8" s="580"/>
      <c r="C8" s="582"/>
      <c r="D8" s="580"/>
      <c r="E8" s="363" t="s">
        <v>94</v>
      </c>
      <c r="F8" s="79" t="s">
        <v>67</v>
      </c>
      <c r="G8" s="348" t="s">
        <v>875</v>
      </c>
      <c r="H8" s="580"/>
      <c r="I8" s="580"/>
      <c r="J8" s="580"/>
      <c r="K8" s="580"/>
      <c r="L8" s="580"/>
      <c r="M8" s="580"/>
      <c r="N8" s="580"/>
      <c r="O8" s="580"/>
      <c r="P8" s="580"/>
      <c r="Q8" s="580"/>
      <c r="R8" s="580"/>
      <c r="S8" s="580"/>
      <c r="T8" s="580"/>
      <c r="U8" s="580"/>
      <c r="V8" s="580"/>
      <c r="W8" s="580"/>
      <c r="X8" s="580"/>
      <c r="Y8" s="580"/>
      <c r="Z8" s="580"/>
      <c r="AA8" s="582"/>
      <c r="AB8" s="580"/>
      <c r="AC8" s="582"/>
      <c r="AD8" s="582"/>
      <c r="AE8" s="582"/>
      <c r="AF8" s="582"/>
      <c r="AG8" s="374" t="s">
        <v>876</v>
      </c>
      <c r="AH8" s="80" t="s">
        <v>94</v>
      </c>
      <c r="AI8" s="44" t="s">
        <v>72</v>
      </c>
      <c r="AJ8" s="44" t="s">
        <v>73</v>
      </c>
      <c r="AK8" s="333">
        <f t="shared" ref="AK8:AK73" si="0">+IF(AJ8="si",15,"0")</f>
        <v>15</v>
      </c>
      <c r="AL8" s="44" t="s">
        <v>73</v>
      </c>
      <c r="AM8" s="333">
        <f t="shared" ref="AM8:AM73" si="1">+IF(AL8="si",15,"0")</f>
        <v>15</v>
      </c>
      <c r="AN8" s="44" t="s">
        <v>73</v>
      </c>
      <c r="AO8" s="333">
        <f>+IF(AN8="si",15,"0")</f>
        <v>15</v>
      </c>
      <c r="AP8" s="44" t="s">
        <v>72</v>
      </c>
      <c r="AQ8" s="333">
        <f t="shared" ref="AQ8:AQ73" si="2">+IF(AP8="Preventivo",15,IF(AP8="Detectivo",10,"0"))</f>
        <v>15</v>
      </c>
      <c r="AR8" s="44" t="s">
        <v>73</v>
      </c>
      <c r="AS8" s="333">
        <f t="shared" ref="AS8:AS73" si="3">+IF(AR8="si",15,"0")</f>
        <v>15</v>
      </c>
      <c r="AT8" s="44" t="s">
        <v>73</v>
      </c>
      <c r="AU8" s="333">
        <f t="shared" ref="AU8:AU73" si="4">+IF(AT8="si",15,"0")</f>
        <v>15</v>
      </c>
      <c r="AV8" s="44" t="s">
        <v>74</v>
      </c>
      <c r="AW8" s="333">
        <f t="shared" ref="AW8:AW73" si="5">+IF(AV8="Completa",10,IF(AV8="Incompleta",5,"0"))</f>
        <v>10</v>
      </c>
      <c r="AX8" s="71">
        <f>IF((SUM(AK8,AM8,AO8,AQ8,AS8,AU8,AW8)=0),"",(SUM(AK8,AM8,AO8,AQ8,AS8,AU8,AW8)))</f>
        <v>100</v>
      </c>
      <c r="AY8" s="71" t="str">
        <f>IF(AX8&lt;=85,"Débil",IF(AX8&lt;=95,"Moderado",IF(AX8=100,"Fuerte","")))</f>
        <v>Fuerte</v>
      </c>
      <c r="AZ8" s="82" t="s">
        <v>75</v>
      </c>
      <c r="BA8" s="81" t="str">
        <f>+IF(AZ8="siempre","Fuerte",IF(AZ8="Algunas veces","Moderado",IF(AZ8="No se ejecuta","Débil","")))</f>
        <v>Fuerte</v>
      </c>
      <c r="BB8" s="81" t="str">
        <f>IFERROR(VLOOKUP((CONCATENATE(AY8,BA8)),Listados!$U$3:$V$11,2,FALSE),"")</f>
        <v>Fuerte</v>
      </c>
      <c r="BC8" s="81">
        <f>IF(BB8="","",IF(BB8="Débil", 0, IF(BB8="Moderado",50,100)))</f>
        <v>100</v>
      </c>
      <c r="BD8" s="567"/>
      <c r="BE8" s="567"/>
      <c r="BF8" s="567"/>
      <c r="BG8" s="567"/>
      <c r="BH8" s="582"/>
      <c r="BI8" s="582"/>
      <c r="BJ8" s="582"/>
      <c r="BK8" s="582"/>
      <c r="BL8" s="343" t="s">
        <v>877</v>
      </c>
      <c r="BM8" s="344" t="s">
        <v>131</v>
      </c>
      <c r="BN8" s="349">
        <v>45689</v>
      </c>
      <c r="BO8" s="349">
        <v>45991</v>
      </c>
      <c r="BP8" s="344" t="s">
        <v>872</v>
      </c>
      <c r="BQ8" s="344" t="s">
        <v>878</v>
      </c>
      <c r="BR8" s="120" t="s">
        <v>879</v>
      </c>
      <c r="BS8" s="790"/>
      <c r="BT8" s="779"/>
      <c r="BU8" s="848"/>
      <c r="BV8" s="779"/>
      <c r="BW8" s="651"/>
    </row>
    <row r="9" spans="1:75" ht="25.5">
      <c r="A9" s="915"/>
      <c r="B9" s="580"/>
      <c r="C9" s="582"/>
      <c r="D9" s="580"/>
      <c r="E9" s="375"/>
      <c r="F9" s="79"/>
      <c r="G9" s="348" t="s">
        <v>880</v>
      </c>
      <c r="H9" s="580"/>
      <c r="I9" s="580"/>
      <c r="J9" s="580"/>
      <c r="K9" s="580"/>
      <c r="L9" s="580"/>
      <c r="M9" s="580"/>
      <c r="N9" s="580"/>
      <c r="O9" s="580"/>
      <c r="P9" s="580"/>
      <c r="Q9" s="580"/>
      <c r="R9" s="580"/>
      <c r="S9" s="580"/>
      <c r="T9" s="580"/>
      <c r="U9" s="580"/>
      <c r="V9" s="580"/>
      <c r="W9" s="580"/>
      <c r="X9" s="580"/>
      <c r="Y9" s="580"/>
      <c r="Z9" s="580"/>
      <c r="AA9" s="582"/>
      <c r="AB9" s="580"/>
      <c r="AC9" s="582"/>
      <c r="AD9" s="582"/>
      <c r="AE9" s="582"/>
      <c r="AF9" s="582"/>
      <c r="AG9" s="376"/>
      <c r="AH9" s="80"/>
      <c r="AI9" s="55"/>
      <c r="AJ9" s="55"/>
      <c r="AK9" s="333" t="str">
        <f t="shared" si="0"/>
        <v>0</v>
      </c>
      <c r="AL9" s="377"/>
      <c r="AM9" s="333" t="str">
        <f t="shared" si="1"/>
        <v>0</v>
      </c>
      <c r="AN9" s="332"/>
      <c r="AO9" s="333" t="str">
        <f>+IF(AN9="si",15,"0")</f>
        <v>0</v>
      </c>
      <c r="AP9" s="332"/>
      <c r="AQ9" s="333" t="str">
        <f t="shared" si="2"/>
        <v>0</v>
      </c>
      <c r="AR9" s="332"/>
      <c r="AS9" s="333" t="str">
        <f t="shared" si="3"/>
        <v>0</v>
      </c>
      <c r="AT9" s="332"/>
      <c r="AU9" s="333" t="str">
        <f t="shared" si="4"/>
        <v>0</v>
      </c>
      <c r="AV9" s="332"/>
      <c r="AW9" s="333" t="str">
        <f t="shared" si="5"/>
        <v>0</v>
      </c>
      <c r="AX9" s="334"/>
      <c r="AY9" s="334"/>
      <c r="AZ9" s="335"/>
      <c r="BA9" s="334"/>
      <c r="BB9" s="334"/>
      <c r="BC9" s="334"/>
      <c r="BD9" s="567"/>
      <c r="BE9" s="567"/>
      <c r="BF9" s="567"/>
      <c r="BG9" s="567"/>
      <c r="BH9" s="582"/>
      <c r="BI9" s="582"/>
      <c r="BJ9" s="582"/>
      <c r="BK9" s="582"/>
      <c r="BL9" s="336"/>
      <c r="BM9" s="336"/>
      <c r="BN9" s="339"/>
      <c r="BO9" s="339"/>
      <c r="BP9" s="336"/>
      <c r="BQ9" s="336"/>
      <c r="BR9" s="168"/>
      <c r="BS9" s="790"/>
      <c r="BT9" s="779"/>
      <c r="BU9" s="848"/>
      <c r="BV9" s="779"/>
      <c r="BW9" s="651"/>
    </row>
    <row r="10" spans="1:75" ht="51.75" thickBot="1">
      <c r="A10" s="916"/>
      <c r="B10" s="581"/>
      <c r="C10" s="583"/>
      <c r="D10" s="581"/>
      <c r="E10" s="279"/>
      <c r="F10" s="124"/>
      <c r="G10" s="269" t="s">
        <v>881</v>
      </c>
      <c r="H10" s="581"/>
      <c r="I10" s="581"/>
      <c r="J10" s="581"/>
      <c r="K10" s="581"/>
      <c r="L10" s="581"/>
      <c r="M10" s="581"/>
      <c r="N10" s="581"/>
      <c r="O10" s="581"/>
      <c r="P10" s="581"/>
      <c r="Q10" s="581"/>
      <c r="R10" s="581"/>
      <c r="S10" s="581"/>
      <c r="T10" s="581"/>
      <c r="U10" s="581"/>
      <c r="V10" s="581"/>
      <c r="W10" s="581"/>
      <c r="X10" s="581"/>
      <c r="Y10" s="581"/>
      <c r="Z10" s="581"/>
      <c r="AA10" s="583"/>
      <c r="AB10" s="581"/>
      <c r="AC10" s="583"/>
      <c r="AD10" s="583"/>
      <c r="AE10" s="583"/>
      <c r="AF10" s="583"/>
      <c r="AG10" s="280"/>
      <c r="AH10" s="125"/>
      <c r="AI10" s="126"/>
      <c r="AJ10" s="126"/>
      <c r="AK10" s="261" t="str">
        <f t="shared" si="0"/>
        <v>0</v>
      </c>
      <c r="AL10" s="281"/>
      <c r="AM10" s="261" t="str">
        <f t="shared" si="1"/>
        <v>0</v>
      </c>
      <c r="AN10" s="260"/>
      <c r="AO10" s="261" t="str">
        <f>+IF(AN10="si",15,"0")</f>
        <v>0</v>
      </c>
      <c r="AP10" s="260"/>
      <c r="AQ10" s="261" t="str">
        <f t="shared" si="2"/>
        <v>0</v>
      </c>
      <c r="AR10" s="260"/>
      <c r="AS10" s="261" t="str">
        <f t="shared" si="3"/>
        <v>0</v>
      </c>
      <c r="AT10" s="260"/>
      <c r="AU10" s="261" t="str">
        <f t="shared" si="4"/>
        <v>0</v>
      </c>
      <c r="AV10" s="260"/>
      <c r="AW10" s="261" t="str">
        <f t="shared" si="5"/>
        <v>0</v>
      </c>
      <c r="AX10" s="262"/>
      <c r="AY10" s="262"/>
      <c r="AZ10" s="263"/>
      <c r="BA10" s="262"/>
      <c r="BB10" s="262"/>
      <c r="BC10" s="262"/>
      <c r="BD10" s="568"/>
      <c r="BE10" s="568"/>
      <c r="BF10" s="568"/>
      <c r="BG10" s="568"/>
      <c r="BH10" s="583"/>
      <c r="BI10" s="583"/>
      <c r="BJ10" s="583"/>
      <c r="BK10" s="583"/>
      <c r="BL10" s="249"/>
      <c r="BM10" s="249"/>
      <c r="BN10" s="250"/>
      <c r="BO10" s="250"/>
      <c r="BP10" s="249"/>
      <c r="BQ10" s="249"/>
      <c r="BR10" s="169"/>
      <c r="BS10" s="791"/>
      <c r="BT10" s="847"/>
      <c r="BU10" s="934"/>
      <c r="BV10" s="847"/>
      <c r="BW10" s="652"/>
    </row>
    <row r="11" spans="1:75" ht="409.5" customHeight="1">
      <c r="A11" s="914">
        <v>2</v>
      </c>
      <c r="B11" s="571" t="s">
        <v>101</v>
      </c>
      <c r="C11" s="632" t="s">
        <v>882</v>
      </c>
      <c r="D11" s="571" t="s">
        <v>883</v>
      </c>
      <c r="E11" s="113" t="s">
        <v>884</v>
      </c>
      <c r="F11" s="138" t="s">
        <v>67</v>
      </c>
      <c r="G11" s="115" t="s">
        <v>885</v>
      </c>
      <c r="H11" s="571" t="s">
        <v>73</v>
      </c>
      <c r="I11" s="571" t="s">
        <v>73</v>
      </c>
      <c r="J11" s="571" t="s">
        <v>73</v>
      </c>
      <c r="K11" s="571" t="s">
        <v>73</v>
      </c>
      <c r="L11" s="571" t="s">
        <v>73</v>
      </c>
      <c r="M11" s="571" t="s">
        <v>73</v>
      </c>
      <c r="N11" s="571" t="s">
        <v>73</v>
      </c>
      <c r="O11" s="571" t="s">
        <v>73</v>
      </c>
      <c r="P11" s="571" t="s">
        <v>869</v>
      </c>
      <c r="Q11" s="571" t="s">
        <v>73</v>
      </c>
      <c r="R11" s="571" t="s">
        <v>73</v>
      </c>
      <c r="S11" s="571" t="s">
        <v>73</v>
      </c>
      <c r="T11" s="571" t="s">
        <v>73</v>
      </c>
      <c r="U11" s="571" t="s">
        <v>73</v>
      </c>
      <c r="V11" s="571" t="s">
        <v>73</v>
      </c>
      <c r="W11" s="571" t="s">
        <v>869</v>
      </c>
      <c r="X11" s="571" t="s">
        <v>73</v>
      </c>
      <c r="Y11" s="571" t="s">
        <v>73</v>
      </c>
      <c r="Z11" s="571" t="s">
        <v>869</v>
      </c>
      <c r="AA11" s="632">
        <f>COUNTIF(H11:Z11, "SI")</f>
        <v>16</v>
      </c>
      <c r="AB11" s="585" t="s">
        <v>88</v>
      </c>
      <c r="AC11" s="569">
        <f>+VLOOKUP(AB11,Listados!$K$8:$L$12,2,0)</f>
        <v>3</v>
      </c>
      <c r="AD11" s="569" t="str">
        <f>++IF(OR(AA11=0),"",IF(OR(AA11=1,AA11&lt;=5),"Moderado",IF(OR(AA11=6,AA11&lt;=11),"Mayor",IF(OR(AA11&gt;=12),"Catastrófico",""))))</f>
        <v>Catastrófico</v>
      </c>
      <c r="AE11" s="569">
        <f>+VLOOKUP(AD11,Listados!$K$13:$L$17,2,0)</f>
        <v>5</v>
      </c>
      <c r="AF11" s="569" t="str">
        <f>IF(AND(AB11&lt;&gt;"",AD11&lt;&gt;""),VLOOKUP(AB11&amp;AD11,[3]Listados!$M$3:$N$27,2,FALSE),"")</f>
        <v>Extremo</v>
      </c>
      <c r="AG11" s="116" t="s">
        <v>886</v>
      </c>
      <c r="AH11" s="139" t="s">
        <v>887</v>
      </c>
      <c r="AI11" s="94" t="s">
        <v>83</v>
      </c>
      <c r="AJ11" s="94" t="s">
        <v>73</v>
      </c>
      <c r="AK11" s="93">
        <f>+IF(AJ11="si",15,"0")</f>
        <v>15</v>
      </c>
      <c r="AL11" s="94" t="s">
        <v>73</v>
      </c>
      <c r="AM11" s="93">
        <f>+IF(AL11="si",15,"0")</f>
        <v>15</v>
      </c>
      <c r="AN11" s="94" t="s">
        <v>73</v>
      </c>
      <c r="AO11" s="93">
        <f>+IF(AN11="si",15,"0")</f>
        <v>15</v>
      </c>
      <c r="AP11" s="94" t="s">
        <v>83</v>
      </c>
      <c r="AQ11" s="93">
        <f>+IF(AP11="Preventivo",15,IF(AP11="Detectivo",10,"0"))</f>
        <v>10</v>
      </c>
      <c r="AR11" s="94" t="s">
        <v>73</v>
      </c>
      <c r="AS11" s="93">
        <f>+IF(AR11="si",15,"0")</f>
        <v>15</v>
      </c>
      <c r="AT11" s="94" t="s">
        <v>73</v>
      </c>
      <c r="AU11" s="93">
        <f>+IF(AT11="si",15,"0")</f>
        <v>15</v>
      </c>
      <c r="AV11" s="94" t="s">
        <v>74</v>
      </c>
      <c r="AW11" s="93">
        <f>+IF(AV11="Completa",10,IF(AV11="Incompleta",5,"0"))</f>
        <v>10</v>
      </c>
      <c r="AX11" s="96">
        <f>IF((SUM(AK11,AM11,AO11,AQ11,AS11,AU11,AW11)=0),"",(SUM(AK11,AM11,AO11,AQ11,AS11,AU11,AW11)))</f>
        <v>95</v>
      </c>
      <c r="AY11" s="96" t="str">
        <f>IF(AX11&lt;=85,"Débil",IF(AX11&lt;=95,"Moderado",IF(AX11=100,"Fuerte","")))</f>
        <v>Moderado</v>
      </c>
      <c r="AZ11" s="118" t="s">
        <v>75</v>
      </c>
      <c r="BA11" s="119" t="str">
        <f>+IF(AZ11="siempre","Fuerte",IF(AZ11="Algunas veces","Moderado",IF(AZ11="No se ejecuta","Débil","")))</f>
        <v>Fuerte</v>
      </c>
      <c r="BB11" s="119" t="str">
        <f>IFERROR(VLOOKUP((CONCATENATE(AY11,BA11)),Listados!$U$3:$V$11,2,FALSE),"")</f>
        <v>Moderado</v>
      </c>
      <c r="BC11" s="96">
        <f>IF(BB11="","",IF(BB11="Débil", 0, IF(BB11="Moderado",50,100)))</f>
        <v>50</v>
      </c>
      <c r="BD11" s="566">
        <f>AVERAGE(BC11:BC15)</f>
        <v>70</v>
      </c>
      <c r="BE11" s="566" t="str">
        <f>IF(BD11&lt;=50,"Débil",IF(BD11&lt;=99,"Moderado",IF(BD11=100,"fuerte","")))</f>
        <v>Moderado</v>
      </c>
      <c r="BF11" s="566">
        <f>+IF(AND(AI11="Preventivo",BE11="Fuerte"),2,IF(AND(AI11="Preventivo",BE11="Moderado"),1,0))</f>
        <v>0</v>
      </c>
      <c r="BG11" s="566">
        <f>+AC11-BF11</f>
        <v>3</v>
      </c>
      <c r="BH11" s="632" t="str">
        <f>+VLOOKUP(MIN(BG11),Listados!$J$18:$K$24,2,TRUE)</f>
        <v>Posible</v>
      </c>
      <c r="BI11" s="632" t="str">
        <f>AD11</f>
        <v>Catastrófico</v>
      </c>
      <c r="BJ11" s="632" t="str">
        <f>IF(AND(BH11&lt;&gt;"",BI11&lt;&gt;""),VLOOKUP(BH11&amp;BI11,Listados!$M$3:$N$27,2,FALSE),"")</f>
        <v>Extremo</v>
      </c>
      <c r="BK11" s="632" t="str">
        <f>+VLOOKUP(BJ11,Listados!$P$3:$Q$6,2,FALSE)</f>
        <v>Reducir el riesgo</v>
      </c>
      <c r="BL11" s="120" t="s">
        <v>888</v>
      </c>
      <c r="BM11" s="121" t="s">
        <v>131</v>
      </c>
      <c r="BN11" s="122">
        <v>45658</v>
      </c>
      <c r="BO11" s="123">
        <v>45991</v>
      </c>
      <c r="BP11" s="121" t="s">
        <v>111</v>
      </c>
      <c r="BQ11" s="121" t="s">
        <v>889</v>
      </c>
      <c r="BR11" s="137" t="s">
        <v>890</v>
      </c>
      <c r="BS11" s="789"/>
      <c r="BT11" s="846"/>
      <c r="BU11" s="933"/>
      <c r="BV11" s="846"/>
      <c r="BW11" s="650"/>
    </row>
    <row r="12" spans="1:75" ht="166.5" customHeight="1">
      <c r="A12" s="915"/>
      <c r="B12" s="580"/>
      <c r="C12" s="582"/>
      <c r="D12" s="580"/>
      <c r="E12" s="363" t="s">
        <v>887</v>
      </c>
      <c r="F12" s="133" t="s">
        <v>67</v>
      </c>
      <c r="G12" s="348" t="s">
        <v>891</v>
      </c>
      <c r="H12" s="580"/>
      <c r="I12" s="580"/>
      <c r="J12" s="580"/>
      <c r="K12" s="580"/>
      <c r="L12" s="580"/>
      <c r="M12" s="580"/>
      <c r="N12" s="580"/>
      <c r="O12" s="580"/>
      <c r="P12" s="580"/>
      <c r="Q12" s="580"/>
      <c r="R12" s="580"/>
      <c r="S12" s="580"/>
      <c r="T12" s="580"/>
      <c r="U12" s="580"/>
      <c r="V12" s="580"/>
      <c r="W12" s="580"/>
      <c r="X12" s="580"/>
      <c r="Y12" s="580"/>
      <c r="Z12" s="580"/>
      <c r="AA12" s="582"/>
      <c r="AB12" s="573"/>
      <c r="AC12" s="565"/>
      <c r="AD12" s="565"/>
      <c r="AE12" s="565"/>
      <c r="AF12" s="565"/>
      <c r="AG12" s="374" t="s">
        <v>892</v>
      </c>
      <c r="AH12" s="134" t="s">
        <v>887</v>
      </c>
      <c r="AI12" s="44" t="s">
        <v>83</v>
      </c>
      <c r="AJ12" s="44" t="s">
        <v>73</v>
      </c>
      <c r="AK12" s="333">
        <f t="shared" si="0"/>
        <v>15</v>
      </c>
      <c r="AL12" s="44" t="s">
        <v>73</v>
      </c>
      <c r="AM12" s="333">
        <f t="shared" si="1"/>
        <v>15</v>
      </c>
      <c r="AN12" s="44" t="s">
        <v>73</v>
      </c>
      <c r="AO12" s="333">
        <f t="shared" ref="AO12:AO73" si="6">+IF(AN12="si",15,"0")</f>
        <v>15</v>
      </c>
      <c r="AP12" s="44" t="s">
        <v>83</v>
      </c>
      <c r="AQ12" s="333">
        <f t="shared" si="2"/>
        <v>10</v>
      </c>
      <c r="AR12" s="44" t="s">
        <v>73</v>
      </c>
      <c r="AS12" s="333">
        <f t="shared" si="3"/>
        <v>15</v>
      </c>
      <c r="AT12" s="44" t="s">
        <v>73</v>
      </c>
      <c r="AU12" s="333">
        <f t="shared" si="4"/>
        <v>15</v>
      </c>
      <c r="AV12" s="44" t="s">
        <v>74</v>
      </c>
      <c r="AW12" s="333">
        <f t="shared" si="5"/>
        <v>10</v>
      </c>
      <c r="AX12" s="71">
        <f t="shared" ref="AX12:AX15" si="7">IF((SUM(AK12,AM12,AO12,AQ12,AS12,AU12,AW12)=0),"",(SUM(AK12,AM12,AO12,AQ12,AS12,AU12,AW12)))</f>
        <v>95</v>
      </c>
      <c r="AY12" s="71" t="str">
        <f t="shared" ref="AY12:AY15" si="8">IF(AX12&lt;=85,"Débil",IF(AX12&lt;=95,"Moderado",IF(AX12=100,"Fuerte","")))</f>
        <v>Moderado</v>
      </c>
      <c r="AZ12" s="82" t="s">
        <v>75</v>
      </c>
      <c r="BA12" s="81" t="str">
        <f t="shared" ref="BA12:BA15" si="9">+IF(AZ12="siempre","Fuerte",IF(AZ12="Algunas veces","Moderado",IF(AZ12="No se ejecuta","Débil","")))</f>
        <v>Fuerte</v>
      </c>
      <c r="BB12" s="81" t="str">
        <f>IFERROR(VLOOKUP((CONCATENATE(AY12,BA12)),Listados!$U$3:$V$11,2,FALSE),"")</f>
        <v>Moderado</v>
      </c>
      <c r="BC12" s="71">
        <f t="shared" ref="BC12:BC15" si="10">IF(BB12="","",IF(BB12="Débil", 0, IF(BB12="Moderado",50,100)))</f>
        <v>50</v>
      </c>
      <c r="BD12" s="567"/>
      <c r="BE12" s="567"/>
      <c r="BF12" s="567"/>
      <c r="BG12" s="567"/>
      <c r="BH12" s="582"/>
      <c r="BI12" s="582"/>
      <c r="BJ12" s="582"/>
      <c r="BK12" s="582"/>
      <c r="BL12" s="343" t="s">
        <v>893</v>
      </c>
      <c r="BM12" s="344" t="s">
        <v>110</v>
      </c>
      <c r="BN12" s="135">
        <v>45658</v>
      </c>
      <c r="BO12" s="136">
        <v>45991</v>
      </c>
      <c r="BP12" s="344" t="s">
        <v>111</v>
      </c>
      <c r="BQ12" s="344" t="s">
        <v>894</v>
      </c>
      <c r="BR12" s="343" t="s">
        <v>895</v>
      </c>
      <c r="BS12" s="790"/>
      <c r="BT12" s="779"/>
      <c r="BU12" s="848"/>
      <c r="BV12" s="779"/>
      <c r="BW12" s="651"/>
    </row>
    <row r="13" spans="1:75" ht="260.25" customHeight="1">
      <c r="A13" s="915"/>
      <c r="B13" s="580"/>
      <c r="C13" s="582"/>
      <c r="D13" s="580"/>
      <c r="E13" s="363" t="s">
        <v>896</v>
      </c>
      <c r="F13" s="133" t="s">
        <v>67</v>
      </c>
      <c r="G13" s="348" t="s">
        <v>897</v>
      </c>
      <c r="H13" s="580"/>
      <c r="I13" s="580"/>
      <c r="J13" s="580"/>
      <c r="K13" s="580"/>
      <c r="L13" s="580"/>
      <c r="M13" s="580"/>
      <c r="N13" s="580"/>
      <c r="O13" s="580"/>
      <c r="P13" s="580"/>
      <c r="Q13" s="580"/>
      <c r="R13" s="580"/>
      <c r="S13" s="580"/>
      <c r="T13" s="580"/>
      <c r="U13" s="580"/>
      <c r="V13" s="580"/>
      <c r="W13" s="580"/>
      <c r="X13" s="580"/>
      <c r="Y13" s="580"/>
      <c r="Z13" s="580"/>
      <c r="AA13" s="582"/>
      <c r="AB13" s="573"/>
      <c r="AC13" s="565"/>
      <c r="AD13" s="565"/>
      <c r="AE13" s="565"/>
      <c r="AF13" s="565"/>
      <c r="AG13" s="374" t="s">
        <v>898</v>
      </c>
      <c r="AH13" s="134" t="s">
        <v>899</v>
      </c>
      <c r="AI13" s="44" t="s">
        <v>72</v>
      </c>
      <c r="AJ13" s="44" t="s">
        <v>73</v>
      </c>
      <c r="AK13" s="333">
        <f t="shared" si="0"/>
        <v>15</v>
      </c>
      <c r="AL13" s="44" t="s">
        <v>73</v>
      </c>
      <c r="AM13" s="333">
        <f t="shared" si="1"/>
        <v>15</v>
      </c>
      <c r="AN13" s="44" t="s">
        <v>73</v>
      </c>
      <c r="AO13" s="333">
        <f t="shared" si="6"/>
        <v>15</v>
      </c>
      <c r="AP13" s="44" t="s">
        <v>72</v>
      </c>
      <c r="AQ13" s="333">
        <f t="shared" si="2"/>
        <v>15</v>
      </c>
      <c r="AR13" s="44" t="s">
        <v>73</v>
      </c>
      <c r="AS13" s="333">
        <f t="shared" si="3"/>
        <v>15</v>
      </c>
      <c r="AT13" s="44" t="s">
        <v>73</v>
      </c>
      <c r="AU13" s="333">
        <f t="shared" si="4"/>
        <v>15</v>
      </c>
      <c r="AV13" s="44" t="s">
        <v>74</v>
      </c>
      <c r="AW13" s="333">
        <f t="shared" si="5"/>
        <v>10</v>
      </c>
      <c r="AX13" s="71">
        <f t="shared" si="7"/>
        <v>100</v>
      </c>
      <c r="AY13" s="71" t="str">
        <f t="shared" si="8"/>
        <v>Fuerte</v>
      </c>
      <c r="AZ13" s="82" t="s">
        <v>75</v>
      </c>
      <c r="BA13" s="81" t="str">
        <f t="shared" si="9"/>
        <v>Fuerte</v>
      </c>
      <c r="BB13" s="81" t="str">
        <f>IFERROR(VLOOKUP((CONCATENATE(AY13,BA13)),Listados!$U$3:$V$11,2,FALSE),"")</f>
        <v>Fuerte</v>
      </c>
      <c r="BC13" s="71">
        <f t="shared" si="10"/>
        <v>100</v>
      </c>
      <c r="BD13" s="567"/>
      <c r="BE13" s="567"/>
      <c r="BF13" s="567"/>
      <c r="BG13" s="567"/>
      <c r="BH13" s="582"/>
      <c r="BI13" s="582"/>
      <c r="BJ13" s="582"/>
      <c r="BK13" s="582"/>
      <c r="BL13" s="378" t="s">
        <v>900</v>
      </c>
      <c r="BM13" s="379" t="s">
        <v>159</v>
      </c>
      <c r="BN13" s="380">
        <v>45717</v>
      </c>
      <c r="BO13" s="381">
        <v>45991</v>
      </c>
      <c r="BP13" s="382" t="s">
        <v>111</v>
      </c>
      <c r="BQ13" s="383" t="s">
        <v>901</v>
      </c>
      <c r="BR13" s="343" t="s">
        <v>902</v>
      </c>
      <c r="BS13" s="790"/>
      <c r="BT13" s="779"/>
      <c r="BU13" s="848"/>
      <c r="BV13" s="779"/>
      <c r="BW13" s="651"/>
    </row>
    <row r="14" spans="1:75" ht="165">
      <c r="A14" s="915"/>
      <c r="B14" s="580"/>
      <c r="C14" s="582"/>
      <c r="D14" s="580"/>
      <c r="E14" s="869" t="s">
        <v>899</v>
      </c>
      <c r="F14" s="871" t="s">
        <v>67</v>
      </c>
      <c r="G14" s="554" t="s">
        <v>903</v>
      </c>
      <c r="H14" s="580"/>
      <c r="I14" s="580"/>
      <c r="J14" s="580"/>
      <c r="K14" s="580"/>
      <c r="L14" s="580"/>
      <c r="M14" s="580"/>
      <c r="N14" s="580"/>
      <c r="O14" s="580"/>
      <c r="P14" s="580"/>
      <c r="Q14" s="580"/>
      <c r="R14" s="580"/>
      <c r="S14" s="580"/>
      <c r="T14" s="580"/>
      <c r="U14" s="580"/>
      <c r="V14" s="580"/>
      <c r="W14" s="580"/>
      <c r="X14" s="580"/>
      <c r="Y14" s="580"/>
      <c r="Z14" s="580"/>
      <c r="AA14" s="582"/>
      <c r="AB14" s="573"/>
      <c r="AC14" s="565"/>
      <c r="AD14" s="565"/>
      <c r="AE14" s="565"/>
      <c r="AF14" s="565"/>
      <c r="AG14" s="374" t="s">
        <v>904</v>
      </c>
      <c r="AH14" s="134" t="s">
        <v>884</v>
      </c>
      <c r="AI14" s="44" t="s">
        <v>83</v>
      </c>
      <c r="AJ14" s="44" t="s">
        <v>73</v>
      </c>
      <c r="AK14" s="333">
        <f t="shared" si="0"/>
        <v>15</v>
      </c>
      <c r="AL14" s="44" t="s">
        <v>73</v>
      </c>
      <c r="AM14" s="333">
        <f t="shared" si="1"/>
        <v>15</v>
      </c>
      <c r="AN14" s="44" t="s">
        <v>73</v>
      </c>
      <c r="AO14" s="333">
        <f t="shared" si="6"/>
        <v>15</v>
      </c>
      <c r="AP14" s="44" t="s">
        <v>83</v>
      </c>
      <c r="AQ14" s="333">
        <f t="shared" si="2"/>
        <v>10</v>
      </c>
      <c r="AR14" s="44" t="s">
        <v>73</v>
      </c>
      <c r="AS14" s="333">
        <f t="shared" si="3"/>
        <v>15</v>
      </c>
      <c r="AT14" s="44" t="s">
        <v>73</v>
      </c>
      <c r="AU14" s="333">
        <f t="shared" si="4"/>
        <v>15</v>
      </c>
      <c r="AV14" s="44" t="s">
        <v>74</v>
      </c>
      <c r="AW14" s="333">
        <f t="shared" si="5"/>
        <v>10</v>
      </c>
      <c r="AX14" s="71">
        <f t="shared" si="7"/>
        <v>95</v>
      </c>
      <c r="AY14" s="71" t="str">
        <f t="shared" si="8"/>
        <v>Moderado</v>
      </c>
      <c r="AZ14" s="82" t="s">
        <v>75</v>
      </c>
      <c r="BA14" s="81" t="str">
        <f t="shared" si="9"/>
        <v>Fuerte</v>
      </c>
      <c r="BB14" s="81" t="str">
        <f>IFERROR(VLOOKUP((CONCATENATE(AY14,BA14)),Listados!$U$3:$V$11,2,FALSE),"")</f>
        <v>Moderado</v>
      </c>
      <c r="BC14" s="71">
        <f t="shared" si="10"/>
        <v>50</v>
      </c>
      <c r="BD14" s="567"/>
      <c r="BE14" s="567"/>
      <c r="BF14" s="567"/>
      <c r="BG14" s="567"/>
      <c r="BH14" s="582"/>
      <c r="BI14" s="582"/>
      <c r="BJ14" s="582"/>
      <c r="BK14" s="582"/>
      <c r="BL14" s="873" t="s">
        <v>905</v>
      </c>
      <c r="BM14" s="686" t="s">
        <v>110</v>
      </c>
      <c r="BN14" s="876">
        <v>45748</v>
      </c>
      <c r="BO14" s="878">
        <v>45991</v>
      </c>
      <c r="BP14" s="689" t="s">
        <v>111</v>
      </c>
      <c r="BQ14" s="881" t="s">
        <v>906</v>
      </c>
      <c r="BR14" s="827" t="s">
        <v>907</v>
      </c>
      <c r="BS14" s="790"/>
      <c r="BT14" s="779"/>
      <c r="BU14" s="848"/>
      <c r="BV14" s="779"/>
      <c r="BW14" s="651"/>
    </row>
    <row r="15" spans="1:75" ht="180.75" thickBot="1">
      <c r="A15" s="915"/>
      <c r="B15" s="580"/>
      <c r="C15" s="582"/>
      <c r="D15" s="580"/>
      <c r="E15" s="870"/>
      <c r="F15" s="872"/>
      <c r="G15" s="580"/>
      <c r="H15" s="580"/>
      <c r="I15" s="580"/>
      <c r="J15" s="580"/>
      <c r="K15" s="580"/>
      <c r="L15" s="580"/>
      <c r="M15" s="580"/>
      <c r="N15" s="580"/>
      <c r="O15" s="580"/>
      <c r="P15" s="580"/>
      <c r="Q15" s="580"/>
      <c r="R15" s="580"/>
      <c r="S15" s="580"/>
      <c r="T15" s="580"/>
      <c r="U15" s="580"/>
      <c r="V15" s="580"/>
      <c r="W15" s="580"/>
      <c r="X15" s="580"/>
      <c r="Y15" s="580"/>
      <c r="Z15" s="580"/>
      <c r="AA15" s="582"/>
      <c r="AB15" s="554"/>
      <c r="AC15" s="556"/>
      <c r="AD15" s="556"/>
      <c r="AE15" s="556"/>
      <c r="AF15" s="556"/>
      <c r="AG15" s="240" t="s">
        <v>908</v>
      </c>
      <c r="AH15" s="175" t="s">
        <v>896</v>
      </c>
      <c r="AI15" s="86" t="s">
        <v>72</v>
      </c>
      <c r="AJ15" s="86" t="s">
        <v>73</v>
      </c>
      <c r="AK15" s="224">
        <f t="shared" si="0"/>
        <v>15</v>
      </c>
      <c r="AL15" s="86" t="s">
        <v>73</v>
      </c>
      <c r="AM15" s="224">
        <f t="shared" si="1"/>
        <v>15</v>
      </c>
      <c r="AN15" s="86" t="s">
        <v>73</v>
      </c>
      <c r="AO15" s="224">
        <f t="shared" si="6"/>
        <v>15</v>
      </c>
      <c r="AP15" s="86" t="s">
        <v>72</v>
      </c>
      <c r="AQ15" s="224">
        <f t="shared" si="2"/>
        <v>15</v>
      </c>
      <c r="AR15" s="86" t="s">
        <v>73</v>
      </c>
      <c r="AS15" s="224">
        <f t="shared" si="3"/>
        <v>15</v>
      </c>
      <c r="AT15" s="86" t="s">
        <v>73</v>
      </c>
      <c r="AU15" s="224">
        <f t="shared" si="4"/>
        <v>15</v>
      </c>
      <c r="AV15" s="86" t="s">
        <v>74</v>
      </c>
      <c r="AW15" s="224">
        <f t="shared" si="5"/>
        <v>10</v>
      </c>
      <c r="AX15" s="84">
        <f t="shared" si="7"/>
        <v>100</v>
      </c>
      <c r="AY15" s="84" t="str">
        <f t="shared" si="8"/>
        <v>Fuerte</v>
      </c>
      <c r="AZ15" s="155" t="s">
        <v>75</v>
      </c>
      <c r="BA15" s="131" t="str">
        <f t="shared" si="9"/>
        <v>Fuerte</v>
      </c>
      <c r="BB15" s="131" t="str">
        <f>IFERROR(VLOOKUP((CONCATENATE(AY15,BA15)),Listados!$U$3:$V$11,2,FALSE),"")</f>
        <v>Fuerte</v>
      </c>
      <c r="BC15" s="84">
        <f t="shared" si="10"/>
        <v>100</v>
      </c>
      <c r="BD15" s="567"/>
      <c r="BE15" s="567"/>
      <c r="BF15" s="567"/>
      <c r="BG15" s="567"/>
      <c r="BH15" s="582"/>
      <c r="BI15" s="582"/>
      <c r="BJ15" s="582"/>
      <c r="BK15" s="582"/>
      <c r="BL15" s="874"/>
      <c r="BM15" s="875"/>
      <c r="BN15" s="877"/>
      <c r="BO15" s="879"/>
      <c r="BP15" s="880"/>
      <c r="BQ15" s="882"/>
      <c r="BR15" s="865"/>
      <c r="BS15" s="790"/>
      <c r="BT15" s="779"/>
      <c r="BU15" s="848"/>
      <c r="BV15" s="779"/>
      <c r="BW15" s="651"/>
    </row>
    <row r="16" spans="1:75" ht="144" customHeight="1">
      <c r="A16" s="917">
        <v>3</v>
      </c>
      <c r="B16" s="920" t="s">
        <v>150</v>
      </c>
      <c r="C16" s="647" t="s">
        <v>151</v>
      </c>
      <c r="D16" s="883" t="s">
        <v>909</v>
      </c>
      <c r="E16" s="150" t="s">
        <v>910</v>
      </c>
      <c r="F16" s="114" t="s">
        <v>67</v>
      </c>
      <c r="G16" s="883" t="s">
        <v>911</v>
      </c>
      <c r="H16" s="571" t="s">
        <v>73</v>
      </c>
      <c r="I16" s="571" t="s">
        <v>73</v>
      </c>
      <c r="J16" s="571" t="s">
        <v>73</v>
      </c>
      <c r="K16" s="571" t="s">
        <v>73</v>
      </c>
      <c r="L16" s="571" t="s">
        <v>73</v>
      </c>
      <c r="M16" s="571" t="s">
        <v>73</v>
      </c>
      <c r="N16" s="571" t="s">
        <v>73</v>
      </c>
      <c r="O16" s="571" t="s">
        <v>73</v>
      </c>
      <c r="P16" s="571" t="s">
        <v>73</v>
      </c>
      <c r="Q16" s="571" t="s">
        <v>73</v>
      </c>
      <c r="R16" s="571" t="s">
        <v>73</v>
      </c>
      <c r="S16" s="571" t="s">
        <v>73</v>
      </c>
      <c r="T16" s="571" t="s">
        <v>73</v>
      </c>
      <c r="U16" s="571" t="s">
        <v>73</v>
      </c>
      <c r="V16" s="571" t="s">
        <v>73</v>
      </c>
      <c r="W16" s="571" t="s">
        <v>73</v>
      </c>
      <c r="X16" s="571" t="s">
        <v>73</v>
      </c>
      <c r="Y16" s="571" t="s">
        <v>73</v>
      </c>
      <c r="Z16" s="571" t="s">
        <v>73</v>
      </c>
      <c r="AA16" s="632">
        <f>COUNTIF(H16:Z16, "SI")</f>
        <v>19</v>
      </c>
      <c r="AB16" s="585" t="s">
        <v>412</v>
      </c>
      <c r="AC16" s="569">
        <f>+VLOOKUP(AB16,Listados!$K$8:$L$12,2,0)</f>
        <v>1</v>
      </c>
      <c r="AD16" s="569" t="str">
        <f>++IF(OR(AA16=0),"",IF(OR(AA16=1,AA16&lt;=5),"Moderado",IF(OR(AA16=6,AA16&lt;=11),"Mayor",IF(OR(AA16&gt;=12),"Catastrófico",""))))</f>
        <v>Catastrófico</v>
      </c>
      <c r="AE16" s="569">
        <f>+VLOOKUP(AD16,Listados!$K$13:$L$17,2,0)</f>
        <v>5</v>
      </c>
      <c r="AF16" s="569" t="str">
        <f>IF(AND(AB16&lt;&gt;"",AD16&lt;&gt;""),VLOOKUP(AB16&amp;AD16,[3]Listados!$M$3:$N$27,2,FALSE),"")</f>
        <v>Extremo</v>
      </c>
      <c r="AG16" s="150" t="s">
        <v>912</v>
      </c>
      <c r="AH16" s="139" t="s">
        <v>910</v>
      </c>
      <c r="AI16" s="94" t="s">
        <v>83</v>
      </c>
      <c r="AJ16" s="94" t="s">
        <v>73</v>
      </c>
      <c r="AK16" s="93">
        <f>+IF(AJ16="si",15,"0")</f>
        <v>15</v>
      </c>
      <c r="AL16" s="94" t="s">
        <v>73</v>
      </c>
      <c r="AM16" s="93">
        <f>+IF(AL16="si",15,"0")</f>
        <v>15</v>
      </c>
      <c r="AN16" s="94" t="s">
        <v>73</v>
      </c>
      <c r="AO16" s="93">
        <f>+IF(AN16="si",15,"0")</f>
        <v>15</v>
      </c>
      <c r="AP16" s="94" t="s">
        <v>72</v>
      </c>
      <c r="AQ16" s="93">
        <f>+IF(AP16="Preventivo",15,IF(AP16="Detectivo",10,"0"))</f>
        <v>15</v>
      </c>
      <c r="AR16" s="94" t="s">
        <v>73</v>
      </c>
      <c r="AS16" s="93">
        <f>+IF(AR16="si",15,"0")</f>
        <v>15</v>
      </c>
      <c r="AT16" s="94" t="s">
        <v>73</v>
      </c>
      <c r="AU16" s="93">
        <f>+IF(AT16="si",15,"0")</f>
        <v>15</v>
      </c>
      <c r="AV16" s="115" t="s">
        <v>74</v>
      </c>
      <c r="AW16" s="93">
        <f>+IF(AV16="Completa",10,IF(AV16="Incompleta",5,"0"))</f>
        <v>10</v>
      </c>
      <c r="AX16" s="96">
        <f>IF((SUM(AK16,AM16,AO16,AQ16,AS16,AU16,AW16)=0),"",(SUM(AK16,AM16,AO16,AQ16,AS16,AU16,AW16)))</f>
        <v>100</v>
      </c>
      <c r="AY16" s="96" t="str">
        <f>IF(AX16&lt;=85,"Débil",IF(AX16&lt;=95,"Moderado",IF(AX16=100,"Fuerte","")))</f>
        <v>Fuerte</v>
      </c>
      <c r="AZ16" s="118" t="s">
        <v>75</v>
      </c>
      <c r="BA16" s="119" t="str">
        <f>+IF(AZ16="siempre","Fuerte",IF(AZ16="Algunas veces","Moderado",IF(AZ16="No se ejecuta","Débil","")))</f>
        <v>Fuerte</v>
      </c>
      <c r="BB16" s="119" t="str">
        <f>IFERROR(VLOOKUP((CONCATENATE(AY16,BA16)),Listados!$U$3:$V$11,2,FALSE),"")</f>
        <v>Fuerte</v>
      </c>
      <c r="BC16" s="119">
        <f>IF(BB16="","",IF(BB16="Débil", 0, IF(BB16="Moderado",50,100)))</f>
        <v>100</v>
      </c>
      <c r="BD16" s="566">
        <f>AVERAGE(BC16:BC19)</f>
        <v>100</v>
      </c>
      <c r="BE16" s="566" t="str">
        <f>IF(BD16&lt;=50,"Débil",IF(BD16&lt;=99,"Moderado",IF(BD16=100,"fuerte","")))</f>
        <v>fuerte</v>
      </c>
      <c r="BF16" s="566">
        <f>+IF(AND(AI16="Preventivo",BE16="Fuerte"),2,IF(AND(AI16="Preventivo",BE16="Moderado"),1,0))</f>
        <v>0</v>
      </c>
      <c r="BG16" s="566">
        <f>+AC16-BF16</f>
        <v>1</v>
      </c>
      <c r="BH16" s="632" t="str">
        <f>+VLOOKUP(MIN(BG16),Listados!$J$18:$K$24,2,TRUE)</f>
        <v>Rara Vez</v>
      </c>
      <c r="BI16" s="632" t="str">
        <f>AD16</f>
        <v>Catastrófico</v>
      </c>
      <c r="BJ16" s="632" t="str">
        <f>IF(AND(BH16&lt;&gt;"",BI16&lt;&gt;""),VLOOKUP(BH16&amp;BI16,Listados!$M$3:$N$27,2,FALSE),"")</f>
        <v>Extremo</v>
      </c>
      <c r="BK16" s="632" t="str">
        <f>+VLOOKUP(BJ16,Listados!$P$3:$Q$6,2,FALSE)</f>
        <v>Reducir el riesgo</v>
      </c>
      <c r="BL16" s="151" t="s">
        <v>913</v>
      </c>
      <c r="BM16" s="152" t="s">
        <v>110</v>
      </c>
      <c r="BN16" s="153">
        <v>45778</v>
      </c>
      <c r="BO16" s="154">
        <v>45991</v>
      </c>
      <c r="BP16" s="152" t="s">
        <v>914</v>
      </c>
      <c r="BQ16" s="152" t="s">
        <v>915</v>
      </c>
      <c r="BR16" s="97" t="s">
        <v>912</v>
      </c>
      <c r="BS16" s="789"/>
      <c r="BT16" s="846"/>
      <c r="BU16" s="933"/>
      <c r="BV16" s="846"/>
      <c r="BW16" s="650"/>
    </row>
    <row r="17" spans="1:75" ht="114.75">
      <c r="A17" s="918"/>
      <c r="B17" s="921"/>
      <c r="C17" s="770"/>
      <c r="D17" s="884"/>
      <c r="E17" s="384" t="s">
        <v>916</v>
      </c>
      <c r="F17" s="79" t="s">
        <v>155</v>
      </c>
      <c r="G17" s="884"/>
      <c r="H17" s="580"/>
      <c r="I17" s="580"/>
      <c r="J17" s="580"/>
      <c r="K17" s="580"/>
      <c r="L17" s="580"/>
      <c r="M17" s="580"/>
      <c r="N17" s="580"/>
      <c r="O17" s="580"/>
      <c r="P17" s="580"/>
      <c r="Q17" s="580"/>
      <c r="R17" s="580"/>
      <c r="S17" s="580"/>
      <c r="T17" s="580"/>
      <c r="U17" s="580"/>
      <c r="V17" s="580"/>
      <c r="W17" s="580"/>
      <c r="X17" s="580"/>
      <c r="Y17" s="580"/>
      <c r="Z17" s="580"/>
      <c r="AA17" s="582"/>
      <c r="AB17" s="573"/>
      <c r="AC17" s="565"/>
      <c r="AD17" s="565"/>
      <c r="AE17" s="565"/>
      <c r="AF17" s="565"/>
      <c r="AG17" s="384" t="s">
        <v>917</v>
      </c>
      <c r="AH17" s="134" t="s">
        <v>916</v>
      </c>
      <c r="AI17" s="44" t="s">
        <v>72</v>
      </c>
      <c r="AJ17" s="44" t="s">
        <v>73</v>
      </c>
      <c r="AK17" s="333">
        <f t="shared" si="0"/>
        <v>15</v>
      </c>
      <c r="AL17" s="44" t="s">
        <v>73</v>
      </c>
      <c r="AM17" s="333">
        <f t="shared" si="1"/>
        <v>15</v>
      </c>
      <c r="AN17" s="44" t="s">
        <v>73</v>
      </c>
      <c r="AO17" s="333">
        <f t="shared" si="6"/>
        <v>15</v>
      </c>
      <c r="AP17" s="44" t="s">
        <v>72</v>
      </c>
      <c r="AQ17" s="333">
        <f t="shared" si="2"/>
        <v>15</v>
      </c>
      <c r="AR17" s="44" t="s">
        <v>73</v>
      </c>
      <c r="AS17" s="333">
        <f t="shared" si="3"/>
        <v>15</v>
      </c>
      <c r="AT17" s="44" t="s">
        <v>73</v>
      </c>
      <c r="AU17" s="333">
        <f t="shared" si="4"/>
        <v>15</v>
      </c>
      <c r="AV17" s="55" t="s">
        <v>74</v>
      </c>
      <c r="AW17" s="333">
        <f t="shared" si="5"/>
        <v>10</v>
      </c>
      <c r="AX17" s="71">
        <f t="shared" ref="AX17:AX18" si="11">IF((SUM(AK17,AM17,AO17,AQ17,AS17,AU17,AW17)=0),"",(SUM(AK17,AM17,AO17,AQ17,AS17,AU17,AW17)))</f>
        <v>100</v>
      </c>
      <c r="AY17" s="71" t="str">
        <f t="shared" ref="AY17:AY18" si="12">IF(AX17&lt;=85,"Débil",IF(AX17&lt;=95,"Moderado",IF(AX17=100,"Fuerte","")))</f>
        <v>Fuerte</v>
      </c>
      <c r="AZ17" s="82" t="s">
        <v>75</v>
      </c>
      <c r="BA17" s="81" t="str">
        <f t="shared" ref="BA17:BA18" si="13">+IF(AZ17="siempre","Fuerte",IF(AZ17="Algunas veces","Moderado",IF(AZ17="No se ejecuta","Débil","")))</f>
        <v>Fuerte</v>
      </c>
      <c r="BB17" s="81" t="str">
        <f>IFERROR(VLOOKUP((CONCATENATE(AY17,BA17)),Listados!$U$3:$V$11,2,FALSE),"")</f>
        <v>Fuerte</v>
      </c>
      <c r="BC17" s="81">
        <f t="shared" ref="BC17:BC18" si="14">IF(BB17="","",IF(BB17="Débil", 0, IF(BB17="Moderado",50,100)))</f>
        <v>100</v>
      </c>
      <c r="BD17" s="567"/>
      <c r="BE17" s="567"/>
      <c r="BF17" s="567"/>
      <c r="BG17" s="567"/>
      <c r="BH17" s="582"/>
      <c r="BI17" s="582"/>
      <c r="BJ17" s="582"/>
      <c r="BK17" s="582"/>
      <c r="BL17" s="241" t="s">
        <v>918</v>
      </c>
      <c r="BM17" s="242" t="s">
        <v>159</v>
      </c>
      <c r="BN17" s="243">
        <v>45658</v>
      </c>
      <c r="BO17" s="244">
        <v>45991</v>
      </c>
      <c r="BP17" s="242" t="s">
        <v>160</v>
      </c>
      <c r="BQ17" s="242" t="s">
        <v>919</v>
      </c>
      <c r="BR17" s="336" t="s">
        <v>917</v>
      </c>
      <c r="BS17" s="790"/>
      <c r="BT17" s="779"/>
      <c r="BU17" s="848"/>
      <c r="BV17" s="779"/>
      <c r="BW17" s="651"/>
    </row>
    <row r="18" spans="1:75" ht="153">
      <c r="A18" s="918"/>
      <c r="B18" s="921"/>
      <c r="C18" s="770"/>
      <c r="D18" s="884"/>
      <c r="E18" s="384" t="s">
        <v>920</v>
      </c>
      <c r="F18" s="79" t="s">
        <v>67</v>
      </c>
      <c r="G18" s="885"/>
      <c r="H18" s="580"/>
      <c r="I18" s="580"/>
      <c r="J18" s="580"/>
      <c r="K18" s="580"/>
      <c r="L18" s="580"/>
      <c r="M18" s="580"/>
      <c r="N18" s="580"/>
      <c r="O18" s="580"/>
      <c r="P18" s="580"/>
      <c r="Q18" s="580"/>
      <c r="R18" s="580"/>
      <c r="S18" s="580"/>
      <c r="T18" s="580"/>
      <c r="U18" s="580"/>
      <c r="V18" s="580"/>
      <c r="W18" s="580"/>
      <c r="X18" s="580"/>
      <c r="Y18" s="580"/>
      <c r="Z18" s="580"/>
      <c r="AA18" s="582"/>
      <c r="AB18" s="573"/>
      <c r="AC18" s="565"/>
      <c r="AD18" s="565"/>
      <c r="AE18" s="565"/>
      <c r="AF18" s="565"/>
      <c r="AG18" s="384" t="s">
        <v>921</v>
      </c>
      <c r="AH18" s="134" t="s">
        <v>920</v>
      </c>
      <c r="AI18" s="44" t="s">
        <v>72</v>
      </c>
      <c r="AJ18" s="44" t="s">
        <v>73</v>
      </c>
      <c r="AK18" s="333">
        <f t="shared" si="0"/>
        <v>15</v>
      </c>
      <c r="AL18" s="44" t="s">
        <v>73</v>
      </c>
      <c r="AM18" s="333">
        <f t="shared" si="1"/>
        <v>15</v>
      </c>
      <c r="AN18" s="44" t="s">
        <v>73</v>
      </c>
      <c r="AO18" s="333">
        <f t="shared" si="6"/>
        <v>15</v>
      </c>
      <c r="AP18" s="44" t="s">
        <v>72</v>
      </c>
      <c r="AQ18" s="333">
        <f t="shared" si="2"/>
        <v>15</v>
      </c>
      <c r="AR18" s="44" t="s">
        <v>73</v>
      </c>
      <c r="AS18" s="333">
        <f t="shared" si="3"/>
        <v>15</v>
      </c>
      <c r="AT18" s="44" t="s">
        <v>73</v>
      </c>
      <c r="AU18" s="333">
        <f t="shared" si="4"/>
        <v>15</v>
      </c>
      <c r="AV18" s="55" t="s">
        <v>74</v>
      </c>
      <c r="AW18" s="333">
        <f t="shared" si="5"/>
        <v>10</v>
      </c>
      <c r="AX18" s="71">
        <f t="shared" si="11"/>
        <v>100</v>
      </c>
      <c r="AY18" s="71" t="str">
        <f t="shared" si="12"/>
        <v>Fuerte</v>
      </c>
      <c r="AZ18" s="82" t="s">
        <v>75</v>
      </c>
      <c r="BA18" s="81" t="str">
        <f t="shared" si="13"/>
        <v>Fuerte</v>
      </c>
      <c r="BB18" s="81" t="str">
        <f>IFERROR(VLOOKUP((CONCATENATE(AY18,BA18)),Listados!$U$3:$V$11,2,FALSE),"")</f>
        <v>Fuerte</v>
      </c>
      <c r="BC18" s="81">
        <f t="shared" si="14"/>
        <v>100</v>
      </c>
      <c r="BD18" s="567"/>
      <c r="BE18" s="567"/>
      <c r="BF18" s="567"/>
      <c r="BG18" s="567"/>
      <c r="BH18" s="582"/>
      <c r="BI18" s="582"/>
      <c r="BJ18" s="582"/>
      <c r="BK18" s="582"/>
      <c r="BL18" s="385" t="s">
        <v>922</v>
      </c>
      <c r="BM18" s="383" t="s">
        <v>159</v>
      </c>
      <c r="BN18" s="380">
        <v>45778</v>
      </c>
      <c r="BO18" s="380">
        <v>45991</v>
      </c>
      <c r="BP18" s="383" t="s">
        <v>923</v>
      </c>
      <c r="BQ18" s="383" t="s">
        <v>924</v>
      </c>
      <c r="BR18" s="336" t="s">
        <v>925</v>
      </c>
      <c r="BS18" s="790"/>
      <c r="BT18" s="779"/>
      <c r="BU18" s="848"/>
      <c r="BV18" s="779"/>
      <c r="BW18" s="651"/>
    </row>
    <row r="19" spans="1:75" ht="15.75" thickBot="1">
      <c r="A19" s="919"/>
      <c r="B19" s="922"/>
      <c r="C19" s="771"/>
      <c r="D19" s="923"/>
      <c r="E19" s="282"/>
      <c r="F19" s="124"/>
      <c r="G19" s="269"/>
      <c r="H19" s="581"/>
      <c r="I19" s="581"/>
      <c r="J19" s="581"/>
      <c r="K19" s="581"/>
      <c r="L19" s="581"/>
      <c r="M19" s="581"/>
      <c r="N19" s="581"/>
      <c r="O19" s="581"/>
      <c r="P19" s="581"/>
      <c r="Q19" s="581"/>
      <c r="R19" s="581"/>
      <c r="S19" s="581"/>
      <c r="T19" s="581"/>
      <c r="U19" s="581"/>
      <c r="V19" s="581"/>
      <c r="W19" s="581"/>
      <c r="X19" s="581"/>
      <c r="Y19" s="581"/>
      <c r="Z19" s="581"/>
      <c r="AA19" s="583"/>
      <c r="AB19" s="587"/>
      <c r="AC19" s="570"/>
      <c r="AD19" s="570"/>
      <c r="AE19" s="570"/>
      <c r="AF19" s="570"/>
      <c r="AG19" s="280"/>
      <c r="AH19" s="258"/>
      <c r="AI19" s="126"/>
      <c r="AJ19" s="126"/>
      <c r="AK19" s="261" t="str">
        <f t="shared" si="0"/>
        <v>0</v>
      </c>
      <c r="AL19" s="281"/>
      <c r="AM19" s="261" t="str">
        <f t="shared" si="1"/>
        <v>0</v>
      </c>
      <c r="AN19" s="260"/>
      <c r="AO19" s="261" t="str">
        <f t="shared" si="6"/>
        <v>0</v>
      </c>
      <c r="AP19" s="126"/>
      <c r="AQ19" s="261" t="str">
        <f t="shared" si="2"/>
        <v>0</v>
      </c>
      <c r="AR19" s="126"/>
      <c r="AS19" s="261" t="str">
        <f t="shared" si="3"/>
        <v>0</v>
      </c>
      <c r="AT19" s="102"/>
      <c r="AU19" s="261" t="str">
        <f t="shared" si="4"/>
        <v>0</v>
      </c>
      <c r="AV19" s="126"/>
      <c r="AW19" s="261" t="str">
        <f t="shared" si="5"/>
        <v>0</v>
      </c>
      <c r="AX19" s="262"/>
      <c r="AY19" s="262"/>
      <c r="AZ19" s="263"/>
      <c r="BA19" s="262"/>
      <c r="BB19" s="262"/>
      <c r="BC19" s="262"/>
      <c r="BD19" s="568"/>
      <c r="BE19" s="568"/>
      <c r="BF19" s="568"/>
      <c r="BG19" s="568"/>
      <c r="BH19" s="583"/>
      <c r="BI19" s="583"/>
      <c r="BJ19" s="583"/>
      <c r="BK19" s="583"/>
      <c r="BL19" s="283"/>
      <c r="BM19" s="284"/>
      <c r="BN19" s="285"/>
      <c r="BO19" s="285"/>
      <c r="BP19" s="284"/>
      <c r="BQ19" s="284"/>
      <c r="BR19" s="169"/>
      <c r="BS19" s="791"/>
      <c r="BT19" s="847"/>
      <c r="BU19" s="934"/>
      <c r="BV19" s="847"/>
      <c r="BW19" s="652"/>
    </row>
    <row r="20" spans="1:75" ht="195">
      <c r="A20" s="914">
        <v>4</v>
      </c>
      <c r="B20" s="571" t="s">
        <v>234</v>
      </c>
      <c r="C20" s="632" t="s">
        <v>235</v>
      </c>
      <c r="D20" s="571" t="s">
        <v>926</v>
      </c>
      <c r="E20" s="113" t="s">
        <v>927</v>
      </c>
      <c r="F20" s="138" t="s">
        <v>67</v>
      </c>
      <c r="G20" s="115" t="s">
        <v>928</v>
      </c>
      <c r="H20" s="571" t="s">
        <v>73</v>
      </c>
      <c r="I20" s="571" t="s">
        <v>73</v>
      </c>
      <c r="J20" s="571" t="s">
        <v>73</v>
      </c>
      <c r="K20" s="571" t="s">
        <v>869</v>
      </c>
      <c r="L20" s="571" t="s">
        <v>73</v>
      </c>
      <c r="M20" s="571" t="s">
        <v>73</v>
      </c>
      <c r="N20" s="571" t="s">
        <v>73</v>
      </c>
      <c r="O20" s="571" t="s">
        <v>869</v>
      </c>
      <c r="P20" s="571" t="s">
        <v>73</v>
      </c>
      <c r="Q20" s="571" t="s">
        <v>73</v>
      </c>
      <c r="R20" s="571" t="s">
        <v>73</v>
      </c>
      <c r="S20" s="571" t="s">
        <v>73</v>
      </c>
      <c r="T20" s="571" t="s">
        <v>869</v>
      </c>
      <c r="U20" s="571" t="s">
        <v>73</v>
      </c>
      <c r="V20" s="571" t="s">
        <v>73</v>
      </c>
      <c r="W20" s="571" t="s">
        <v>869</v>
      </c>
      <c r="X20" s="571" t="s">
        <v>869</v>
      </c>
      <c r="Y20" s="571" t="s">
        <v>73</v>
      </c>
      <c r="Z20" s="571" t="s">
        <v>869</v>
      </c>
      <c r="AA20" s="632">
        <f>COUNTIF(H20:Z20, "SI")</f>
        <v>13</v>
      </c>
      <c r="AB20" s="585" t="s">
        <v>180</v>
      </c>
      <c r="AC20" s="569">
        <f>+VLOOKUP(AB20,Listados!$K$8:$L$12,2,0)</f>
        <v>2</v>
      </c>
      <c r="AD20" s="569" t="str">
        <f>++IF(OR(AA20=0),"",IF(OR(AA20=1,AA20&lt;=5),"Moderado",IF(OR(AA20=6,AA20&lt;=11),"Mayor",IF(OR(AA20&gt;=12),"Catastrófico",""))))</f>
        <v>Catastrófico</v>
      </c>
      <c r="AE20" s="569">
        <f>+VLOOKUP(AD20,Listados!$K$13:$L$17,2,0)</f>
        <v>5</v>
      </c>
      <c r="AF20" s="569" t="str">
        <f>IF(AND(AB20&lt;&gt;"",AD20&lt;&gt;""),VLOOKUP(AB20&amp;AD20,[3]Listados!$M$3:$N$27,2,FALSE),"")</f>
        <v>Extremo</v>
      </c>
      <c r="AG20" s="116" t="s">
        <v>929</v>
      </c>
      <c r="AH20" s="117" t="s">
        <v>927</v>
      </c>
      <c r="AI20" s="115" t="s">
        <v>72</v>
      </c>
      <c r="AJ20" s="94" t="s">
        <v>73</v>
      </c>
      <c r="AK20" s="93">
        <f>+IF(AJ20="si",15,"0")</f>
        <v>15</v>
      </c>
      <c r="AL20" s="94" t="s">
        <v>73</v>
      </c>
      <c r="AM20" s="93">
        <f>+IF(AL20="si",15,"0")</f>
        <v>15</v>
      </c>
      <c r="AN20" s="94" t="s">
        <v>73</v>
      </c>
      <c r="AO20" s="93">
        <f>+IF(AN20="si",15,"0")</f>
        <v>15</v>
      </c>
      <c r="AP20" s="94" t="s">
        <v>72</v>
      </c>
      <c r="AQ20" s="93">
        <f>+IF(AP20="Preventivo",15,IF(AP20="Detectivo",10,"0"))</f>
        <v>15</v>
      </c>
      <c r="AR20" s="94" t="s">
        <v>73</v>
      </c>
      <c r="AS20" s="93">
        <f>+IF(AR20="si",15,"0")</f>
        <v>15</v>
      </c>
      <c r="AT20" s="115" t="s">
        <v>73</v>
      </c>
      <c r="AU20" s="93">
        <f>+IF(AT20="si",15,"0")</f>
        <v>15</v>
      </c>
      <c r="AV20" s="115" t="s">
        <v>74</v>
      </c>
      <c r="AW20" s="93">
        <f>+IF(AV20="Completa",10,IF(AV20="Incompleta",5,"0"))</f>
        <v>10</v>
      </c>
      <c r="AX20" s="96">
        <f>IF((SUM(AK20,AM20,AO20,AQ20,AS20,AU20,AW20)=0),"",(SUM(AK20,AM20,AO20,AQ20,AS20,AU20,AW20)))</f>
        <v>100</v>
      </c>
      <c r="AY20" s="96" t="str">
        <f>IF(AX20&lt;=85,"Débil",IF(AX20&lt;=95,"Moderado",IF(AX20=100,"Fuerte","")))</f>
        <v>Fuerte</v>
      </c>
      <c r="AZ20" s="118" t="s">
        <v>75</v>
      </c>
      <c r="BA20" s="119" t="str">
        <f>+IF(AZ20="siempre","Fuerte",IF(AZ20="Algunas veces","Moderado",IF(AZ20="No se ejecuta","Débil","")))</f>
        <v>Fuerte</v>
      </c>
      <c r="BB20" s="119" t="str">
        <f>IFERROR(VLOOKUP((CONCATENATE(AY20,BA20)),Listados!$U$3:$V$11,2,FALSE),"")</f>
        <v>Fuerte</v>
      </c>
      <c r="BC20" s="119">
        <f>IF(BB20="","",IF(BB20="Débil", 0, IF(BB20="Moderado",50,100)))</f>
        <v>100</v>
      </c>
      <c r="BD20" s="566">
        <f>AVERAGE(BC20:BC23)</f>
        <v>100</v>
      </c>
      <c r="BE20" s="566" t="str">
        <f>IF(BD20&lt;=50,"Débil",IF(BD20&lt;=99,"Moderado",IF(BD20=100,"fuerte","")))</f>
        <v>fuerte</v>
      </c>
      <c r="BF20" s="566">
        <f>+IF(AND(AI20="Preventivo",BE20="Fuerte"),2,IF(AND(AI20="Preventivo",BE20="Moderado"),1,0))</f>
        <v>2</v>
      </c>
      <c r="BG20" s="566">
        <f>+AC20-BF20</f>
        <v>0</v>
      </c>
      <c r="BH20" s="632" t="str">
        <f>+VLOOKUP(MIN(BG20),Listados!$J$18:$K$24,2,TRUE)</f>
        <v>Rara Vez</v>
      </c>
      <c r="BI20" s="632" t="str">
        <f>AD20</f>
        <v>Catastrófico</v>
      </c>
      <c r="BJ20" s="632" t="str">
        <f>IF(AND(BH20&lt;&gt;"",BI20&lt;&gt;""),VLOOKUP(BH20&amp;BI20,Listados!$M$3:$N$27,2,FALSE),"")</f>
        <v>Extremo</v>
      </c>
      <c r="BK20" s="632" t="str">
        <f>+VLOOKUP(BJ20,Listados!$P$3:$Q$6,2,FALSE)</f>
        <v>Reducir el riesgo</v>
      </c>
      <c r="BL20" s="97" t="s">
        <v>930</v>
      </c>
      <c r="BM20" s="97" t="s">
        <v>931</v>
      </c>
      <c r="BN20" s="98">
        <v>45672</v>
      </c>
      <c r="BO20" s="99">
        <v>45991</v>
      </c>
      <c r="BP20" s="97" t="s">
        <v>932</v>
      </c>
      <c r="BQ20" s="97" t="s">
        <v>933</v>
      </c>
      <c r="BR20" s="167"/>
      <c r="BS20" s="789"/>
      <c r="BT20" s="846"/>
      <c r="BU20" s="933"/>
      <c r="BV20" s="846"/>
      <c r="BW20" s="650"/>
    </row>
    <row r="21" spans="1:75" ht="210.75" thickBot="1">
      <c r="A21" s="915"/>
      <c r="B21" s="580"/>
      <c r="C21" s="582"/>
      <c r="D21" s="580"/>
      <c r="E21" s="363" t="s">
        <v>934</v>
      </c>
      <c r="F21" s="371" t="s">
        <v>67</v>
      </c>
      <c r="G21" s="149" t="s">
        <v>935</v>
      </c>
      <c r="H21" s="580"/>
      <c r="I21" s="580"/>
      <c r="J21" s="580"/>
      <c r="K21" s="580"/>
      <c r="L21" s="580"/>
      <c r="M21" s="580"/>
      <c r="N21" s="580"/>
      <c r="O21" s="580"/>
      <c r="P21" s="580"/>
      <c r="Q21" s="580"/>
      <c r="R21" s="580"/>
      <c r="S21" s="580"/>
      <c r="T21" s="580"/>
      <c r="U21" s="580"/>
      <c r="V21" s="580"/>
      <c r="W21" s="580"/>
      <c r="X21" s="580"/>
      <c r="Y21" s="580"/>
      <c r="Z21" s="580"/>
      <c r="AA21" s="582"/>
      <c r="AB21" s="573"/>
      <c r="AC21" s="565"/>
      <c r="AD21" s="565"/>
      <c r="AE21" s="565"/>
      <c r="AF21" s="565"/>
      <c r="AG21" s="374" t="s">
        <v>936</v>
      </c>
      <c r="AH21" s="386" t="s">
        <v>934</v>
      </c>
      <c r="AI21" s="348" t="s">
        <v>72</v>
      </c>
      <c r="AJ21" s="332" t="s">
        <v>73</v>
      </c>
      <c r="AK21" s="333">
        <f t="shared" si="0"/>
        <v>15</v>
      </c>
      <c r="AL21" s="332" t="s">
        <v>73</v>
      </c>
      <c r="AM21" s="333">
        <f t="shared" si="1"/>
        <v>15</v>
      </c>
      <c r="AN21" s="332" t="s">
        <v>73</v>
      </c>
      <c r="AO21" s="333">
        <f t="shared" si="6"/>
        <v>15</v>
      </c>
      <c r="AP21" s="332" t="s">
        <v>72</v>
      </c>
      <c r="AQ21" s="333">
        <f t="shared" si="2"/>
        <v>15</v>
      </c>
      <c r="AR21" s="332" t="s">
        <v>73</v>
      </c>
      <c r="AS21" s="333">
        <f t="shared" si="3"/>
        <v>15</v>
      </c>
      <c r="AT21" s="348" t="s">
        <v>73</v>
      </c>
      <c r="AU21" s="333">
        <f t="shared" si="4"/>
        <v>15</v>
      </c>
      <c r="AV21" s="348" t="s">
        <v>74</v>
      </c>
      <c r="AW21" s="333">
        <f t="shared" si="5"/>
        <v>10</v>
      </c>
      <c r="AX21" s="334">
        <f>IF((SUM(AK21,AM21,AO21,AQ21,AS21,AU21,AW21)=0),"",(SUM(AK21,AM21,AO21,AQ21,AS21,AU21,AW21)))</f>
        <v>100</v>
      </c>
      <c r="AY21" s="334" t="str">
        <f>IF(AX21&lt;=85,"Débil",IF(AX21&lt;=95,"Moderado",IF(AX21=100,"Fuerte","")))</f>
        <v>Fuerte</v>
      </c>
      <c r="AZ21" s="387" t="s">
        <v>75</v>
      </c>
      <c r="BA21" s="341" t="str">
        <f t="shared" ref="BA21:BA23" si="15">+IF(AZ21="siempre","Fuerte",IF(AZ21="Algunas veces","Moderado",IF(AZ21="No se ejecuta","Débil","")))</f>
        <v>Fuerte</v>
      </c>
      <c r="BB21" s="341" t="str">
        <f>IFERROR(VLOOKUP((CONCATENATE(AY21,BA21)),Listados!$U$3:$V$11,2,FALSE),"")</f>
        <v>Fuerte</v>
      </c>
      <c r="BC21" s="341">
        <f t="shared" ref="BC21:BC23" si="16">IF(BB21="","",IF(BB21="Débil", 0, IF(BB21="Moderado",50,100)))</f>
        <v>100</v>
      </c>
      <c r="BD21" s="567"/>
      <c r="BE21" s="567"/>
      <c r="BF21" s="567"/>
      <c r="BG21" s="567"/>
      <c r="BH21" s="582"/>
      <c r="BI21" s="582"/>
      <c r="BJ21" s="582"/>
      <c r="BK21" s="582"/>
      <c r="BL21" s="336" t="s">
        <v>937</v>
      </c>
      <c r="BM21" s="336" t="s">
        <v>938</v>
      </c>
      <c r="BN21" s="339">
        <v>45672</v>
      </c>
      <c r="BO21" s="361">
        <v>45991</v>
      </c>
      <c r="BP21" s="336" t="s">
        <v>932</v>
      </c>
      <c r="BQ21" s="336" t="s">
        <v>939</v>
      </c>
      <c r="BR21" s="168"/>
      <c r="BS21" s="790"/>
      <c r="BT21" s="779"/>
      <c r="BU21" s="848"/>
      <c r="BV21" s="779"/>
      <c r="BW21" s="651"/>
    </row>
    <row r="22" spans="1:75" ht="21" customHeight="1">
      <c r="A22" s="915"/>
      <c r="B22" s="580"/>
      <c r="C22" s="582"/>
      <c r="D22" s="580"/>
      <c r="E22" s="375"/>
      <c r="F22" s="388"/>
      <c r="G22" s="348"/>
      <c r="H22" s="580"/>
      <c r="I22" s="580"/>
      <c r="J22" s="580"/>
      <c r="K22" s="580"/>
      <c r="L22" s="580"/>
      <c r="M22" s="580"/>
      <c r="N22" s="580"/>
      <c r="O22" s="580"/>
      <c r="P22" s="580"/>
      <c r="Q22" s="580"/>
      <c r="R22" s="580"/>
      <c r="S22" s="580"/>
      <c r="T22" s="580"/>
      <c r="U22" s="580"/>
      <c r="V22" s="580"/>
      <c r="W22" s="580"/>
      <c r="X22" s="580"/>
      <c r="Y22" s="580"/>
      <c r="Z22" s="580"/>
      <c r="AA22" s="582"/>
      <c r="AB22" s="573"/>
      <c r="AC22" s="565"/>
      <c r="AD22" s="565"/>
      <c r="AE22" s="565"/>
      <c r="AF22" s="565"/>
      <c r="AG22" s="376"/>
      <c r="AH22" s="347"/>
      <c r="AI22" s="348"/>
      <c r="AJ22" s="348"/>
      <c r="AK22" s="333" t="str">
        <f t="shared" si="0"/>
        <v>0</v>
      </c>
      <c r="AL22" s="348"/>
      <c r="AM22" s="333" t="str">
        <f t="shared" si="1"/>
        <v>0</v>
      </c>
      <c r="AN22" s="348"/>
      <c r="AO22" s="333" t="str">
        <f t="shared" si="6"/>
        <v>0</v>
      </c>
      <c r="AP22" s="348"/>
      <c r="AQ22" s="333" t="str">
        <f t="shared" si="2"/>
        <v>0</v>
      </c>
      <c r="AR22" s="348"/>
      <c r="AS22" s="333" t="str">
        <f t="shared" si="3"/>
        <v>0</v>
      </c>
      <c r="AT22" s="348"/>
      <c r="AU22" s="333" t="str">
        <f t="shared" si="4"/>
        <v>0</v>
      </c>
      <c r="AV22" s="348"/>
      <c r="AW22" s="333" t="str">
        <f t="shared" si="5"/>
        <v>0</v>
      </c>
      <c r="AX22" s="334"/>
      <c r="AY22" s="334"/>
      <c r="AZ22" s="387"/>
      <c r="BA22" s="341" t="str">
        <f t="shared" si="15"/>
        <v/>
      </c>
      <c r="BB22" s="341" t="str">
        <f>IFERROR(VLOOKUP((CONCATENATE(AY22,BA22)),Listados!$U$3:$V$11,2,FALSE),"")</f>
        <v/>
      </c>
      <c r="BC22" s="341" t="str">
        <f t="shared" si="16"/>
        <v/>
      </c>
      <c r="BD22" s="567"/>
      <c r="BE22" s="567"/>
      <c r="BF22" s="567"/>
      <c r="BG22" s="567"/>
      <c r="BH22" s="582"/>
      <c r="BI22" s="582"/>
      <c r="BJ22" s="582"/>
      <c r="BK22" s="582"/>
      <c r="BL22" s="336"/>
      <c r="BM22" s="336"/>
      <c r="BN22" s="339"/>
      <c r="BO22" s="339"/>
      <c r="BP22" s="336"/>
      <c r="BQ22" s="336"/>
      <c r="BR22" s="168"/>
      <c r="BS22" s="790"/>
      <c r="BT22" s="779"/>
      <c r="BU22" s="848"/>
      <c r="BV22" s="779"/>
      <c r="BW22" s="651"/>
    </row>
    <row r="23" spans="1:75" ht="35.25" customHeight="1" thickBot="1">
      <c r="A23" s="916"/>
      <c r="B23" s="581"/>
      <c r="C23" s="583"/>
      <c r="D23" s="581"/>
      <c r="E23" s="279"/>
      <c r="F23" s="286"/>
      <c r="G23" s="269"/>
      <c r="H23" s="581"/>
      <c r="I23" s="581"/>
      <c r="J23" s="581"/>
      <c r="K23" s="581"/>
      <c r="L23" s="581"/>
      <c r="M23" s="581"/>
      <c r="N23" s="581"/>
      <c r="O23" s="581"/>
      <c r="P23" s="581"/>
      <c r="Q23" s="581"/>
      <c r="R23" s="581"/>
      <c r="S23" s="581"/>
      <c r="T23" s="581"/>
      <c r="U23" s="581"/>
      <c r="V23" s="581"/>
      <c r="W23" s="581"/>
      <c r="X23" s="581"/>
      <c r="Y23" s="581"/>
      <c r="Z23" s="581"/>
      <c r="AA23" s="583"/>
      <c r="AB23" s="587"/>
      <c r="AC23" s="570"/>
      <c r="AD23" s="570"/>
      <c r="AE23" s="570"/>
      <c r="AF23" s="570"/>
      <c r="AG23" s="280"/>
      <c r="AH23" s="258"/>
      <c r="AI23" s="269"/>
      <c r="AJ23" s="269"/>
      <c r="AK23" s="261" t="str">
        <f t="shared" si="0"/>
        <v>0</v>
      </c>
      <c r="AL23" s="269"/>
      <c r="AM23" s="261" t="str">
        <f t="shared" si="1"/>
        <v>0</v>
      </c>
      <c r="AN23" s="269"/>
      <c r="AO23" s="261" t="str">
        <f t="shared" si="6"/>
        <v>0</v>
      </c>
      <c r="AP23" s="269"/>
      <c r="AQ23" s="261" t="str">
        <f t="shared" si="2"/>
        <v>0</v>
      </c>
      <c r="AR23" s="269"/>
      <c r="AS23" s="261" t="str">
        <f t="shared" si="3"/>
        <v>0</v>
      </c>
      <c r="AT23" s="269"/>
      <c r="AU23" s="261" t="str">
        <f t="shared" si="4"/>
        <v>0</v>
      </c>
      <c r="AV23" s="269"/>
      <c r="AW23" s="261" t="str">
        <f t="shared" si="5"/>
        <v>0</v>
      </c>
      <c r="AX23" s="262"/>
      <c r="AY23" s="262"/>
      <c r="AZ23" s="287"/>
      <c r="BA23" s="264" t="str">
        <f t="shared" si="15"/>
        <v/>
      </c>
      <c r="BB23" s="264" t="str">
        <f>IFERROR(VLOOKUP((CONCATENATE(AY23,BA23)),Listados!$U$3:$V$11,2,FALSE),"")</f>
        <v/>
      </c>
      <c r="BC23" s="264" t="str">
        <f t="shared" si="16"/>
        <v/>
      </c>
      <c r="BD23" s="568"/>
      <c r="BE23" s="568"/>
      <c r="BF23" s="568"/>
      <c r="BG23" s="568"/>
      <c r="BH23" s="583"/>
      <c r="BI23" s="583"/>
      <c r="BJ23" s="583"/>
      <c r="BK23" s="583"/>
      <c r="BL23" s="249"/>
      <c r="BM23" s="249"/>
      <c r="BN23" s="250"/>
      <c r="BO23" s="250"/>
      <c r="BP23" s="249"/>
      <c r="BQ23" s="249"/>
      <c r="BR23" s="169"/>
      <c r="BS23" s="791"/>
      <c r="BT23" s="847"/>
      <c r="BU23" s="934"/>
      <c r="BV23" s="847"/>
      <c r="BW23" s="652"/>
    </row>
    <row r="24" spans="1:75" ht="180" customHeight="1">
      <c r="A24" s="914">
        <v>5</v>
      </c>
      <c r="B24" s="571" t="s">
        <v>347</v>
      </c>
      <c r="C24" s="647" t="s">
        <v>363</v>
      </c>
      <c r="D24" s="883" t="s">
        <v>940</v>
      </c>
      <c r="E24" s="113" t="s">
        <v>941</v>
      </c>
      <c r="F24" s="138" t="s">
        <v>67</v>
      </c>
      <c r="G24" s="115" t="s">
        <v>942</v>
      </c>
      <c r="H24" s="571" t="s">
        <v>73</v>
      </c>
      <c r="I24" s="571" t="s">
        <v>73</v>
      </c>
      <c r="J24" s="571" t="s">
        <v>73</v>
      </c>
      <c r="K24" s="571" t="s">
        <v>73</v>
      </c>
      <c r="L24" s="571" t="s">
        <v>73</v>
      </c>
      <c r="M24" s="571" t="s">
        <v>73</v>
      </c>
      <c r="N24" s="571" t="s">
        <v>73</v>
      </c>
      <c r="O24" s="571" t="s">
        <v>73</v>
      </c>
      <c r="P24" s="571" t="s">
        <v>869</v>
      </c>
      <c r="Q24" s="571" t="s">
        <v>73</v>
      </c>
      <c r="R24" s="571" t="s">
        <v>73</v>
      </c>
      <c r="S24" s="571" t="s">
        <v>73</v>
      </c>
      <c r="T24" s="571" t="s">
        <v>869</v>
      </c>
      <c r="U24" s="571" t="s">
        <v>869</v>
      </c>
      <c r="V24" s="571" t="s">
        <v>73</v>
      </c>
      <c r="W24" s="571" t="s">
        <v>73</v>
      </c>
      <c r="X24" s="571" t="s">
        <v>73</v>
      </c>
      <c r="Y24" s="571" t="s">
        <v>73</v>
      </c>
      <c r="Z24" s="571" t="s">
        <v>73</v>
      </c>
      <c r="AA24" s="632">
        <f>COUNTIF(H24:Z24, "SI")</f>
        <v>16</v>
      </c>
      <c r="AB24" s="585" t="s">
        <v>88</v>
      </c>
      <c r="AC24" s="569">
        <f>+VLOOKUP(AB24,Listados!$K$8:$L$12,2,0)</f>
        <v>3</v>
      </c>
      <c r="AD24" s="569" t="str">
        <f>++IF(OR(AA24=0),"",IF(OR(AA24=1,AA24&lt;=5),"Moderado",IF(OR(AA24=6,AA24&lt;=11),"Mayor",IF(OR(AA24&gt;=12),"Catastrófico",""))))</f>
        <v>Catastrófico</v>
      </c>
      <c r="AE24" s="569">
        <f>+VLOOKUP(AD24,Listados!$K$13:$L$17,2,0)</f>
        <v>5</v>
      </c>
      <c r="AF24" s="569" t="str">
        <f>IF(AND(AB24&lt;&gt;"",AD24&lt;&gt;""),VLOOKUP(AB24&amp;AD24,[3]Listados!$M$3:$N$27,2,FALSE),"")</f>
        <v>Extremo</v>
      </c>
      <c r="AG24" s="116" t="s">
        <v>943</v>
      </c>
      <c r="AH24" s="139" t="s">
        <v>941</v>
      </c>
      <c r="AI24" s="94" t="s">
        <v>72</v>
      </c>
      <c r="AJ24" s="94" t="s">
        <v>73</v>
      </c>
      <c r="AK24" s="93">
        <f>+IF(AJ24="si",15,"0")</f>
        <v>15</v>
      </c>
      <c r="AL24" s="94" t="s">
        <v>73</v>
      </c>
      <c r="AM24" s="93">
        <f>+IF(AL24="si",15,"0")</f>
        <v>15</v>
      </c>
      <c r="AN24" s="94" t="s">
        <v>73</v>
      </c>
      <c r="AO24" s="93">
        <f>+IF(AN24="si",15,"0")</f>
        <v>15</v>
      </c>
      <c r="AP24" s="115" t="s">
        <v>72</v>
      </c>
      <c r="AQ24" s="93">
        <f>+IF(AP24="Preventivo",15,IF(AP24="Detectivo",10,"0"))</f>
        <v>15</v>
      </c>
      <c r="AR24" s="94" t="s">
        <v>73</v>
      </c>
      <c r="AS24" s="93">
        <f>+IF(AR24="si",15,"0")</f>
        <v>15</v>
      </c>
      <c r="AT24" s="94" t="s">
        <v>73</v>
      </c>
      <c r="AU24" s="93">
        <f>+IF(AT24="si",15,"0")</f>
        <v>15</v>
      </c>
      <c r="AV24" s="94" t="s">
        <v>74</v>
      </c>
      <c r="AW24" s="93">
        <f>+IF(AV24="Completa",10,IF(AV24="Incompleta",5,"0"))</f>
        <v>10</v>
      </c>
      <c r="AX24" s="96">
        <f>IF((SUM(AK24,AM24,AO24,AQ24,AS24,AU24,AW24)=0),"",(SUM(AK24,AM24,AO24,AQ24,AS24,AU24,AW24)))</f>
        <v>100</v>
      </c>
      <c r="AY24" s="96" t="str">
        <f>IF(AX24&lt;=85,"Débil",IF(AX24&lt;=95,"Moderado",IF(AX24=100,"Fuerte","")))</f>
        <v>Fuerte</v>
      </c>
      <c r="AZ24" s="118" t="s">
        <v>75</v>
      </c>
      <c r="BA24" s="96" t="str">
        <f>+IF(AZ24="siempre","Fuerte",IF(AZ24="Algunas veces","Moderado",IF(AZ24="No se ejecuta","Débil","")))</f>
        <v>Fuerte</v>
      </c>
      <c r="BB24" s="96" t="str">
        <f>IFERROR(VLOOKUP((CONCATENATE(AY24,BA24)),Listados!$U$3:$V$11,2,FALSE),"")</f>
        <v>Fuerte</v>
      </c>
      <c r="BC24" s="96">
        <f>IF(BB24="","",IF(BB24="Débil", 0, IF(BB24="Moderado",50,100)))</f>
        <v>100</v>
      </c>
      <c r="BD24" s="566">
        <f>AVERAGE(BC24:BC27)</f>
        <v>100</v>
      </c>
      <c r="BE24" s="566" t="str">
        <f>IF(BD24&lt;=50,"Débil",IF(BD24&lt;=99,"Moderado",IF(BD24=100,"fuerte","")))</f>
        <v>fuerte</v>
      </c>
      <c r="BF24" s="566">
        <f>+IF(AND(AI24="Preventivo",BE24="Fuerte"),2,IF(AND(AI24="Preventivo",BE24="Moderado"),1,0))</f>
        <v>2</v>
      </c>
      <c r="BG24" s="566">
        <f>+AC24-BF24</f>
        <v>1</v>
      </c>
      <c r="BH24" s="632" t="str">
        <f>+VLOOKUP(MIN(BG24),Listados!$J$18:$K$24,2,TRUE)</f>
        <v>Rara Vez</v>
      </c>
      <c r="BI24" s="632" t="str">
        <f>AD24</f>
        <v>Catastrófico</v>
      </c>
      <c r="BJ24" s="632" t="str">
        <f>IF(AND(BH24&lt;&gt;"",BI24&lt;&gt;""),VLOOKUP(BH24&amp;BI24,Listados!$M$3:$N$27,2,FALSE),"")</f>
        <v>Extremo</v>
      </c>
      <c r="BK24" s="632" t="str">
        <f>+VLOOKUP(BJ24,Listados!$P$3:$Q$6,2,FALSE)</f>
        <v>Reducir el riesgo</v>
      </c>
      <c r="BL24" s="145" t="s">
        <v>944</v>
      </c>
      <c r="BM24" s="97" t="s">
        <v>493</v>
      </c>
      <c r="BN24" s="98">
        <v>45658</v>
      </c>
      <c r="BO24" s="99">
        <v>46022</v>
      </c>
      <c r="BP24" s="121" t="s">
        <v>945</v>
      </c>
      <c r="BQ24" s="121" t="s">
        <v>946</v>
      </c>
      <c r="BR24" s="786" t="s">
        <v>947</v>
      </c>
      <c r="BS24" s="789"/>
      <c r="BT24" s="846"/>
      <c r="BU24" s="933"/>
      <c r="BV24" s="846"/>
      <c r="BW24" s="650"/>
    </row>
    <row r="25" spans="1:75" ht="186.75" customHeight="1">
      <c r="A25" s="915"/>
      <c r="B25" s="580"/>
      <c r="C25" s="770"/>
      <c r="D25" s="884"/>
      <c r="E25" s="363" t="s">
        <v>948</v>
      </c>
      <c r="F25" s="133" t="s">
        <v>67</v>
      </c>
      <c r="G25" s="348" t="s">
        <v>949</v>
      </c>
      <c r="H25" s="580"/>
      <c r="I25" s="580"/>
      <c r="J25" s="580"/>
      <c r="K25" s="580"/>
      <c r="L25" s="580"/>
      <c r="M25" s="580"/>
      <c r="N25" s="580"/>
      <c r="O25" s="580"/>
      <c r="P25" s="580"/>
      <c r="Q25" s="580"/>
      <c r="R25" s="580"/>
      <c r="S25" s="580"/>
      <c r="T25" s="580"/>
      <c r="U25" s="580"/>
      <c r="V25" s="580"/>
      <c r="W25" s="580"/>
      <c r="X25" s="580"/>
      <c r="Y25" s="580"/>
      <c r="Z25" s="580"/>
      <c r="AA25" s="582"/>
      <c r="AB25" s="573"/>
      <c r="AC25" s="565"/>
      <c r="AD25" s="565"/>
      <c r="AE25" s="565"/>
      <c r="AF25" s="565"/>
      <c r="AG25" s="374" t="s">
        <v>950</v>
      </c>
      <c r="AH25" s="134" t="s">
        <v>941</v>
      </c>
      <c r="AI25" s="44" t="s">
        <v>72</v>
      </c>
      <c r="AJ25" s="44" t="s">
        <v>73</v>
      </c>
      <c r="AK25" s="333">
        <f t="shared" si="0"/>
        <v>15</v>
      </c>
      <c r="AL25" s="44" t="s">
        <v>73</v>
      </c>
      <c r="AM25" s="333">
        <f t="shared" si="1"/>
        <v>15</v>
      </c>
      <c r="AN25" s="44" t="s">
        <v>73</v>
      </c>
      <c r="AO25" s="333">
        <f t="shared" si="6"/>
        <v>15</v>
      </c>
      <c r="AP25" s="55" t="s">
        <v>72</v>
      </c>
      <c r="AQ25" s="333">
        <f t="shared" si="2"/>
        <v>15</v>
      </c>
      <c r="AR25" s="44" t="s">
        <v>73</v>
      </c>
      <c r="AS25" s="333">
        <f t="shared" si="3"/>
        <v>15</v>
      </c>
      <c r="AT25" s="44" t="s">
        <v>73</v>
      </c>
      <c r="AU25" s="333">
        <f t="shared" si="4"/>
        <v>15</v>
      </c>
      <c r="AV25" s="44" t="s">
        <v>74</v>
      </c>
      <c r="AW25" s="333">
        <f t="shared" si="5"/>
        <v>10</v>
      </c>
      <c r="AX25" s="71">
        <f t="shared" ref="AX25:AX27" si="17">IF((SUM(AK25,AM25,AO25,AQ25,AS25,AU25,AW25)=0),"",(SUM(AK25,AM25,AO25,AQ25,AS25,AU25,AW25)))</f>
        <v>100</v>
      </c>
      <c r="AY25" s="71" t="str">
        <f t="shared" ref="AY25:AY27" si="18">IF(AX25&lt;=85,"Débil",IF(AX25&lt;=95,"Moderado",IF(AX25=100,"Fuerte","")))</f>
        <v>Fuerte</v>
      </c>
      <c r="AZ25" s="75" t="s">
        <v>75</v>
      </c>
      <c r="BA25" s="71" t="str">
        <f t="shared" ref="BA25:BA27" si="19">+IF(AZ25="siempre","Fuerte",IF(AZ25="Algunas veces","Moderado",IF(AZ25="No se ejecuta","Débil","")))</f>
        <v>Fuerte</v>
      </c>
      <c r="BB25" s="71" t="str">
        <f>IFERROR(VLOOKUP((CONCATENATE(AY25,BA25)),Listados!$U$3:$V$11,2,FALSE),"")</f>
        <v>Fuerte</v>
      </c>
      <c r="BC25" s="71">
        <f t="shared" ref="BC25:BC27" si="20">IF(BB25="","",IF(BB25="Débil", 0, IF(BB25="Moderado",50,100)))</f>
        <v>100</v>
      </c>
      <c r="BD25" s="567"/>
      <c r="BE25" s="567"/>
      <c r="BF25" s="567"/>
      <c r="BG25" s="567"/>
      <c r="BH25" s="582"/>
      <c r="BI25" s="582"/>
      <c r="BJ25" s="582"/>
      <c r="BK25" s="582"/>
      <c r="BL25" s="336"/>
      <c r="BM25" s="336"/>
      <c r="BN25" s="336"/>
      <c r="BO25" s="336"/>
      <c r="BP25" s="336"/>
      <c r="BQ25" s="336"/>
      <c r="BR25" s="787"/>
      <c r="BS25" s="790"/>
      <c r="BT25" s="779"/>
      <c r="BU25" s="848"/>
      <c r="BV25" s="779"/>
      <c r="BW25" s="651"/>
    </row>
    <row r="26" spans="1:75" ht="151.5" customHeight="1">
      <c r="A26" s="915"/>
      <c r="B26" s="580"/>
      <c r="C26" s="770"/>
      <c r="D26" s="884"/>
      <c r="E26" s="363"/>
      <c r="F26" s="79"/>
      <c r="G26" s="348"/>
      <c r="H26" s="580"/>
      <c r="I26" s="580"/>
      <c r="J26" s="580"/>
      <c r="K26" s="580"/>
      <c r="L26" s="580"/>
      <c r="M26" s="580"/>
      <c r="N26" s="580"/>
      <c r="O26" s="580"/>
      <c r="P26" s="580"/>
      <c r="Q26" s="580"/>
      <c r="R26" s="580"/>
      <c r="S26" s="580"/>
      <c r="T26" s="580"/>
      <c r="U26" s="580"/>
      <c r="V26" s="580"/>
      <c r="W26" s="580"/>
      <c r="X26" s="580"/>
      <c r="Y26" s="580"/>
      <c r="Z26" s="580"/>
      <c r="AA26" s="582"/>
      <c r="AB26" s="573"/>
      <c r="AC26" s="565"/>
      <c r="AD26" s="565"/>
      <c r="AE26" s="565"/>
      <c r="AF26" s="565"/>
      <c r="AG26" s="374" t="s">
        <v>951</v>
      </c>
      <c r="AH26" s="134" t="s">
        <v>941</v>
      </c>
      <c r="AI26" s="44" t="s">
        <v>72</v>
      </c>
      <c r="AJ26" s="44" t="s">
        <v>73</v>
      </c>
      <c r="AK26" s="333">
        <f t="shared" si="0"/>
        <v>15</v>
      </c>
      <c r="AL26" s="44" t="s">
        <v>73</v>
      </c>
      <c r="AM26" s="333">
        <f t="shared" si="1"/>
        <v>15</v>
      </c>
      <c r="AN26" s="44" t="s">
        <v>73</v>
      </c>
      <c r="AO26" s="333">
        <f t="shared" si="6"/>
        <v>15</v>
      </c>
      <c r="AP26" s="55" t="s">
        <v>72</v>
      </c>
      <c r="AQ26" s="333">
        <f t="shared" si="2"/>
        <v>15</v>
      </c>
      <c r="AR26" s="44" t="s">
        <v>73</v>
      </c>
      <c r="AS26" s="333">
        <f t="shared" si="3"/>
        <v>15</v>
      </c>
      <c r="AT26" s="44" t="s">
        <v>73</v>
      </c>
      <c r="AU26" s="333">
        <f t="shared" si="4"/>
        <v>15</v>
      </c>
      <c r="AV26" s="44" t="s">
        <v>74</v>
      </c>
      <c r="AW26" s="333">
        <f t="shared" si="5"/>
        <v>10</v>
      </c>
      <c r="AX26" s="71">
        <f t="shared" si="17"/>
        <v>100</v>
      </c>
      <c r="AY26" s="71" t="str">
        <f t="shared" si="18"/>
        <v>Fuerte</v>
      </c>
      <c r="AZ26" s="75" t="s">
        <v>75</v>
      </c>
      <c r="BA26" s="71" t="str">
        <f t="shared" si="19"/>
        <v>Fuerte</v>
      </c>
      <c r="BB26" s="71" t="str">
        <f>IFERROR(VLOOKUP((CONCATENATE(AY26,BA26)),Listados!$U$3:$V$11,2,FALSE),"")</f>
        <v>Fuerte</v>
      </c>
      <c r="BC26" s="71">
        <f t="shared" si="20"/>
        <v>100</v>
      </c>
      <c r="BD26" s="567"/>
      <c r="BE26" s="567"/>
      <c r="BF26" s="567"/>
      <c r="BG26" s="567"/>
      <c r="BH26" s="582"/>
      <c r="BI26" s="582"/>
      <c r="BJ26" s="582"/>
      <c r="BK26" s="582"/>
      <c r="BL26" s="336"/>
      <c r="BM26" s="336"/>
      <c r="BN26" s="339"/>
      <c r="BO26" s="339"/>
      <c r="BP26" s="336"/>
      <c r="BQ26" s="336"/>
      <c r="BR26" s="787"/>
      <c r="BS26" s="790"/>
      <c r="BT26" s="779"/>
      <c r="BU26" s="848"/>
      <c r="BV26" s="779"/>
      <c r="BW26" s="651"/>
    </row>
    <row r="27" spans="1:75" ht="129" customHeight="1" thickBot="1">
      <c r="A27" s="916"/>
      <c r="B27" s="581"/>
      <c r="C27" s="771"/>
      <c r="D27" s="923"/>
      <c r="E27" s="273"/>
      <c r="F27" s="124"/>
      <c r="G27" s="269"/>
      <c r="H27" s="581"/>
      <c r="I27" s="581"/>
      <c r="J27" s="581"/>
      <c r="K27" s="581"/>
      <c r="L27" s="581"/>
      <c r="M27" s="581"/>
      <c r="N27" s="581"/>
      <c r="O27" s="581"/>
      <c r="P27" s="581"/>
      <c r="Q27" s="581"/>
      <c r="R27" s="581"/>
      <c r="S27" s="581"/>
      <c r="T27" s="581"/>
      <c r="U27" s="581"/>
      <c r="V27" s="581"/>
      <c r="W27" s="581"/>
      <c r="X27" s="581"/>
      <c r="Y27" s="581"/>
      <c r="Z27" s="581"/>
      <c r="AA27" s="583"/>
      <c r="AB27" s="587"/>
      <c r="AC27" s="570"/>
      <c r="AD27" s="570"/>
      <c r="AE27" s="570"/>
      <c r="AF27" s="570"/>
      <c r="AG27" s="288" t="s">
        <v>952</v>
      </c>
      <c r="AH27" s="101" t="s">
        <v>948</v>
      </c>
      <c r="AI27" s="102" t="s">
        <v>72</v>
      </c>
      <c r="AJ27" s="102" t="s">
        <v>73</v>
      </c>
      <c r="AK27" s="261">
        <f t="shared" si="0"/>
        <v>15</v>
      </c>
      <c r="AL27" s="126" t="s">
        <v>73</v>
      </c>
      <c r="AM27" s="261">
        <f t="shared" si="1"/>
        <v>15</v>
      </c>
      <c r="AN27" s="102" t="s">
        <v>73</v>
      </c>
      <c r="AO27" s="261">
        <f t="shared" si="6"/>
        <v>15</v>
      </c>
      <c r="AP27" s="126" t="s">
        <v>72</v>
      </c>
      <c r="AQ27" s="261">
        <f t="shared" si="2"/>
        <v>15</v>
      </c>
      <c r="AR27" s="102" t="s">
        <v>73</v>
      </c>
      <c r="AS27" s="261">
        <f t="shared" si="3"/>
        <v>15</v>
      </c>
      <c r="AT27" s="102" t="s">
        <v>73</v>
      </c>
      <c r="AU27" s="261">
        <f t="shared" si="4"/>
        <v>15</v>
      </c>
      <c r="AV27" s="102" t="s">
        <v>74</v>
      </c>
      <c r="AW27" s="261">
        <f t="shared" si="5"/>
        <v>10</v>
      </c>
      <c r="AX27" s="103">
        <f t="shared" si="17"/>
        <v>100</v>
      </c>
      <c r="AY27" s="103" t="str">
        <f t="shared" si="18"/>
        <v>Fuerte</v>
      </c>
      <c r="AZ27" s="104" t="s">
        <v>75</v>
      </c>
      <c r="BA27" s="103" t="str">
        <f t="shared" si="19"/>
        <v>Fuerte</v>
      </c>
      <c r="BB27" s="103" t="str">
        <f>IFERROR(VLOOKUP((CONCATENATE(AY27,BA27)),Listados!$U$3:$V$11,2,FALSE),"")</f>
        <v>Fuerte</v>
      </c>
      <c r="BC27" s="103">
        <f t="shared" si="20"/>
        <v>100</v>
      </c>
      <c r="BD27" s="568"/>
      <c r="BE27" s="568"/>
      <c r="BF27" s="568"/>
      <c r="BG27" s="568"/>
      <c r="BH27" s="583"/>
      <c r="BI27" s="583"/>
      <c r="BJ27" s="583"/>
      <c r="BK27" s="583"/>
      <c r="BL27" s="249"/>
      <c r="BM27" s="249"/>
      <c r="BN27" s="250"/>
      <c r="BO27" s="250"/>
      <c r="BP27" s="249"/>
      <c r="BQ27" s="249"/>
      <c r="BR27" s="788"/>
      <c r="BS27" s="791"/>
      <c r="BT27" s="847"/>
      <c r="BU27" s="934"/>
      <c r="BV27" s="847"/>
      <c r="BW27" s="652"/>
    </row>
    <row r="28" spans="1:75" ht="314.25" customHeight="1">
      <c r="A28" s="914">
        <v>6</v>
      </c>
      <c r="B28" s="571" t="s">
        <v>347</v>
      </c>
      <c r="C28" s="632" t="s">
        <v>363</v>
      </c>
      <c r="D28" s="571" t="s">
        <v>953</v>
      </c>
      <c r="E28" s="113" t="s">
        <v>954</v>
      </c>
      <c r="F28" s="138" t="s">
        <v>67</v>
      </c>
      <c r="G28" s="156" t="s">
        <v>955</v>
      </c>
      <c r="H28" s="571" t="s">
        <v>73</v>
      </c>
      <c r="I28" s="571" t="s">
        <v>73</v>
      </c>
      <c r="J28" s="571" t="s">
        <v>73</v>
      </c>
      <c r="K28" s="571" t="s">
        <v>869</v>
      </c>
      <c r="L28" s="571" t="s">
        <v>73</v>
      </c>
      <c r="M28" s="571" t="s">
        <v>869</v>
      </c>
      <c r="N28" s="571" t="s">
        <v>73</v>
      </c>
      <c r="O28" s="571" t="s">
        <v>869</v>
      </c>
      <c r="P28" s="571" t="s">
        <v>73</v>
      </c>
      <c r="Q28" s="571" t="s">
        <v>73</v>
      </c>
      <c r="R28" s="571" t="s">
        <v>73</v>
      </c>
      <c r="S28" s="571" t="s">
        <v>73</v>
      </c>
      <c r="T28" s="571" t="s">
        <v>869</v>
      </c>
      <c r="U28" s="571" t="s">
        <v>869</v>
      </c>
      <c r="V28" s="571" t="s">
        <v>869</v>
      </c>
      <c r="W28" s="571" t="s">
        <v>869</v>
      </c>
      <c r="X28" s="571" t="s">
        <v>869</v>
      </c>
      <c r="Y28" s="571" t="s">
        <v>869</v>
      </c>
      <c r="Z28" s="571" t="s">
        <v>869</v>
      </c>
      <c r="AA28" s="632">
        <f>COUNTIF(H28:Z28, "SI")</f>
        <v>9</v>
      </c>
      <c r="AB28" s="585" t="s">
        <v>412</v>
      </c>
      <c r="AC28" s="569">
        <f>+VLOOKUP(AB28,Listados!$K$8:$L$12,2,0)</f>
        <v>1</v>
      </c>
      <c r="AD28" s="569" t="str">
        <f>++IF(OR(AA28=0),"",IF(OR(AA28=1,AA28&lt;=5),"Moderado",IF(OR(AA28=6,AA28&lt;=11),"Mayor",IF(OR(AA28&gt;=12),"Catastrófico",""))))</f>
        <v>Mayor</v>
      </c>
      <c r="AE28" s="569">
        <f>+VLOOKUP(AD28,Listados!$K$13:$L$17,2,0)</f>
        <v>4</v>
      </c>
      <c r="AF28" s="569" t="str">
        <f>IF(AND(AB28&lt;&gt;"",AD28&lt;&gt;""),VLOOKUP(AB28&amp;AD28,[3]Listados!$M$3:$N$27,2,FALSE),"")</f>
        <v>Alto</v>
      </c>
      <c r="AG28" s="116" t="s">
        <v>956</v>
      </c>
      <c r="AH28" s="159" t="s">
        <v>954</v>
      </c>
      <c r="AI28" s="94" t="s">
        <v>72</v>
      </c>
      <c r="AJ28" s="94" t="s">
        <v>73</v>
      </c>
      <c r="AK28" s="93">
        <f>+IF(AJ28="si",15,"0")</f>
        <v>15</v>
      </c>
      <c r="AL28" s="94" t="s">
        <v>73</v>
      </c>
      <c r="AM28" s="93">
        <f>+IF(AL28="si",15,"0")</f>
        <v>15</v>
      </c>
      <c r="AN28" s="94" t="s">
        <v>73</v>
      </c>
      <c r="AO28" s="93">
        <f>+IF(AN28="si",15,"0")</f>
        <v>15</v>
      </c>
      <c r="AP28" s="94" t="s">
        <v>72</v>
      </c>
      <c r="AQ28" s="93">
        <f>+IF(AP28="Preventivo",15,IF(AP28="Detectivo",10,"0"))</f>
        <v>15</v>
      </c>
      <c r="AR28" s="94" t="s">
        <v>73</v>
      </c>
      <c r="AS28" s="93">
        <f>+IF(AR28="si",15,"0")</f>
        <v>15</v>
      </c>
      <c r="AT28" s="94" t="s">
        <v>73</v>
      </c>
      <c r="AU28" s="93">
        <f>+IF(AT28="si",15,"0")</f>
        <v>15</v>
      </c>
      <c r="AV28" s="94" t="s">
        <v>74</v>
      </c>
      <c r="AW28" s="93">
        <f>+IF(AV28="Completa",10,IF(AV28="Incompleta",5,"0"))</f>
        <v>10</v>
      </c>
      <c r="AX28" s="96">
        <f t="shared" ref="AX28:AX59" si="21">IF((SUM(AK28,AM28,AO28,AQ28,AS28,AU28,AW28)=0),"",(SUM(AK28,AM28,AO28,AQ28,AS28,AU28,AW28)))</f>
        <v>100</v>
      </c>
      <c r="AY28" s="96" t="str">
        <f t="shared" ref="AY28:AY59" si="22">IF(AX28&lt;=85,"Débil",IF(AX28&lt;=95,"Moderado",IF(AX28=100,"Fuerte","")))</f>
        <v>Fuerte</v>
      </c>
      <c r="AZ28" s="107" t="s">
        <v>75</v>
      </c>
      <c r="BA28" s="96" t="str">
        <f>+IF(AZ28="siempre","Fuerte",IF(AZ28="Algunas veces","Moderado",IF(AZ28="No se ejecuta","Débil","")))</f>
        <v>Fuerte</v>
      </c>
      <c r="BB28" s="96" t="str">
        <f>IFERROR(VLOOKUP((CONCATENATE(AY28,BA28)),Listados!$U$3:$V$11,2,FALSE),"")</f>
        <v>Fuerte</v>
      </c>
      <c r="BC28" s="119">
        <f>IF(BB28="","",IF(BB28="Débil", 0, IF(BB28="Moderado",50,100)))</f>
        <v>100</v>
      </c>
      <c r="BD28" s="566">
        <f>AVERAGE(BC28:BC31)</f>
        <v>100</v>
      </c>
      <c r="BE28" s="566" t="str">
        <f>IF(BD28&lt;=50,"Débil",IF(BD28&lt;=99,"Moderado",IF(BD28=100,"fuerte","")))</f>
        <v>fuerte</v>
      </c>
      <c r="BF28" s="566">
        <f>+IF(AND(AI28="Preventivo",BE28="Fuerte"),2,IF(AND(AI28="Preventivo",BE28="Moderado"),1,0))</f>
        <v>2</v>
      </c>
      <c r="BG28" s="566">
        <f>+AC28-BF28</f>
        <v>-1</v>
      </c>
      <c r="BH28" s="632" t="str">
        <f>+VLOOKUP(MIN(BG28),Listados!$J$18:$K$24,2,TRUE)</f>
        <v>Rara Vez</v>
      </c>
      <c r="BI28" s="632" t="str">
        <f>AD28</f>
        <v>Mayor</v>
      </c>
      <c r="BJ28" s="632" t="str">
        <f>IF(AND(BH28&lt;&gt;"",BI28&lt;&gt;""),VLOOKUP(BH28&amp;BI28,Listados!$M$3:$N$27,2,FALSE),"")</f>
        <v>Alto</v>
      </c>
      <c r="BK28" s="632" t="str">
        <f>+VLOOKUP(BJ28,Listados!$P$3:$Q$6,2,FALSE)</f>
        <v>Reducir el riesgo</v>
      </c>
      <c r="BL28" s="145" t="s">
        <v>957</v>
      </c>
      <c r="BM28" s="121" t="s">
        <v>958</v>
      </c>
      <c r="BN28" s="122">
        <v>45778</v>
      </c>
      <c r="BO28" s="122">
        <v>46022</v>
      </c>
      <c r="BP28" s="121" t="s">
        <v>959</v>
      </c>
      <c r="BQ28" s="121" t="s">
        <v>960</v>
      </c>
      <c r="BR28" s="356" t="s">
        <v>961</v>
      </c>
      <c r="BS28" s="789"/>
      <c r="BT28" s="846"/>
      <c r="BU28" s="933"/>
      <c r="BV28" s="846"/>
      <c r="BW28" s="650"/>
    </row>
    <row r="29" spans="1:75" ht="244.5" customHeight="1">
      <c r="A29" s="915"/>
      <c r="B29" s="580"/>
      <c r="C29" s="582"/>
      <c r="D29" s="580"/>
      <c r="E29" s="363" t="s">
        <v>962</v>
      </c>
      <c r="F29" s="133" t="s">
        <v>67</v>
      </c>
      <c r="G29" s="370" t="s">
        <v>963</v>
      </c>
      <c r="H29" s="580"/>
      <c r="I29" s="580"/>
      <c r="J29" s="580"/>
      <c r="K29" s="580"/>
      <c r="L29" s="580"/>
      <c r="M29" s="580"/>
      <c r="N29" s="580"/>
      <c r="O29" s="580"/>
      <c r="P29" s="580"/>
      <c r="Q29" s="580"/>
      <c r="R29" s="580"/>
      <c r="S29" s="580"/>
      <c r="T29" s="580"/>
      <c r="U29" s="580"/>
      <c r="V29" s="580"/>
      <c r="W29" s="580"/>
      <c r="X29" s="580"/>
      <c r="Y29" s="580"/>
      <c r="Z29" s="580"/>
      <c r="AA29" s="582"/>
      <c r="AB29" s="573"/>
      <c r="AC29" s="565"/>
      <c r="AD29" s="565"/>
      <c r="AE29" s="565"/>
      <c r="AF29" s="565"/>
      <c r="AG29" s="374" t="s">
        <v>964</v>
      </c>
      <c r="AH29" s="54" t="s">
        <v>962</v>
      </c>
      <c r="AI29" s="44" t="s">
        <v>72</v>
      </c>
      <c r="AJ29" s="44" t="s">
        <v>73</v>
      </c>
      <c r="AK29" s="333">
        <f t="shared" si="0"/>
        <v>15</v>
      </c>
      <c r="AL29" s="44" t="s">
        <v>73</v>
      </c>
      <c r="AM29" s="333">
        <f t="shared" si="1"/>
        <v>15</v>
      </c>
      <c r="AN29" s="44" t="s">
        <v>73</v>
      </c>
      <c r="AO29" s="333">
        <f t="shared" si="6"/>
        <v>15</v>
      </c>
      <c r="AP29" s="44" t="s">
        <v>72</v>
      </c>
      <c r="AQ29" s="333">
        <f t="shared" si="2"/>
        <v>15</v>
      </c>
      <c r="AR29" s="44" t="s">
        <v>73</v>
      </c>
      <c r="AS29" s="333">
        <f t="shared" si="3"/>
        <v>15</v>
      </c>
      <c r="AT29" s="44" t="s">
        <v>73</v>
      </c>
      <c r="AU29" s="333">
        <f t="shared" si="4"/>
        <v>15</v>
      </c>
      <c r="AV29" s="44" t="s">
        <v>74</v>
      </c>
      <c r="AW29" s="333">
        <f t="shared" si="5"/>
        <v>10</v>
      </c>
      <c r="AX29" s="71">
        <f t="shared" si="21"/>
        <v>100</v>
      </c>
      <c r="AY29" s="71" t="str">
        <f t="shared" si="22"/>
        <v>Fuerte</v>
      </c>
      <c r="AZ29" s="75" t="s">
        <v>75</v>
      </c>
      <c r="BA29" s="71" t="str">
        <f t="shared" ref="BA29:BA92" si="23">+IF(AZ29="siempre","Fuerte",IF(AZ29="Algunas veces","Moderado",IF(AZ29="No se ejecuta","Débil","")))</f>
        <v>Fuerte</v>
      </c>
      <c r="BB29" s="71" t="str">
        <f>IFERROR(VLOOKUP((CONCATENATE(AY29,BA29)),Listados!$U$3:$V$11,2,FALSE),"")</f>
        <v>Fuerte</v>
      </c>
      <c r="BC29" s="81">
        <f t="shared" ref="BC29:BC92" si="24">IF(BB29="","",IF(BB29="Débil", 0, IF(BB29="Moderado",50,100)))</f>
        <v>100</v>
      </c>
      <c r="BD29" s="567"/>
      <c r="BE29" s="567"/>
      <c r="BF29" s="567"/>
      <c r="BG29" s="567"/>
      <c r="BH29" s="582"/>
      <c r="BI29" s="582"/>
      <c r="BJ29" s="582"/>
      <c r="BK29" s="582"/>
      <c r="BL29" s="143" t="s">
        <v>965</v>
      </c>
      <c r="BM29" s="344" t="s">
        <v>958</v>
      </c>
      <c r="BN29" s="349">
        <v>45658</v>
      </c>
      <c r="BO29" s="349">
        <v>46022</v>
      </c>
      <c r="BP29" s="344" t="s">
        <v>959</v>
      </c>
      <c r="BQ29" s="87" t="s">
        <v>966</v>
      </c>
      <c r="BR29" s="355" t="s">
        <v>967</v>
      </c>
      <c r="BS29" s="790"/>
      <c r="BT29" s="779"/>
      <c r="BU29" s="848"/>
      <c r="BV29" s="779"/>
      <c r="BW29" s="651"/>
    </row>
    <row r="30" spans="1:75" ht="240">
      <c r="A30" s="915"/>
      <c r="B30" s="580"/>
      <c r="C30" s="582"/>
      <c r="D30" s="580"/>
      <c r="E30" s="363" t="s">
        <v>968</v>
      </c>
      <c r="F30" s="133" t="s">
        <v>67</v>
      </c>
      <c r="G30" s="370" t="s">
        <v>969</v>
      </c>
      <c r="H30" s="580"/>
      <c r="I30" s="580"/>
      <c r="J30" s="580"/>
      <c r="K30" s="580"/>
      <c r="L30" s="580"/>
      <c r="M30" s="580"/>
      <c r="N30" s="580"/>
      <c r="O30" s="580"/>
      <c r="P30" s="580"/>
      <c r="Q30" s="580"/>
      <c r="R30" s="580"/>
      <c r="S30" s="580"/>
      <c r="T30" s="580"/>
      <c r="U30" s="580"/>
      <c r="V30" s="580"/>
      <c r="W30" s="580"/>
      <c r="X30" s="580"/>
      <c r="Y30" s="580"/>
      <c r="Z30" s="580"/>
      <c r="AA30" s="582"/>
      <c r="AB30" s="573"/>
      <c r="AC30" s="565"/>
      <c r="AD30" s="565"/>
      <c r="AE30" s="565"/>
      <c r="AF30" s="565"/>
      <c r="AG30" s="374" t="s">
        <v>970</v>
      </c>
      <c r="AH30" s="54" t="s">
        <v>968</v>
      </c>
      <c r="AI30" s="44" t="s">
        <v>72</v>
      </c>
      <c r="AJ30" s="44" t="s">
        <v>73</v>
      </c>
      <c r="AK30" s="333">
        <f t="shared" si="0"/>
        <v>15</v>
      </c>
      <c r="AL30" s="44" t="s">
        <v>73</v>
      </c>
      <c r="AM30" s="333">
        <f t="shared" si="1"/>
        <v>15</v>
      </c>
      <c r="AN30" s="44" t="s">
        <v>73</v>
      </c>
      <c r="AO30" s="333">
        <f t="shared" si="6"/>
        <v>15</v>
      </c>
      <c r="AP30" s="44" t="s">
        <v>72</v>
      </c>
      <c r="AQ30" s="333">
        <f t="shared" si="2"/>
        <v>15</v>
      </c>
      <c r="AR30" s="44" t="s">
        <v>73</v>
      </c>
      <c r="AS30" s="333">
        <f t="shared" si="3"/>
        <v>15</v>
      </c>
      <c r="AT30" s="44" t="s">
        <v>73</v>
      </c>
      <c r="AU30" s="333">
        <f t="shared" si="4"/>
        <v>15</v>
      </c>
      <c r="AV30" s="44" t="s">
        <v>74</v>
      </c>
      <c r="AW30" s="333">
        <f t="shared" si="5"/>
        <v>10</v>
      </c>
      <c r="AX30" s="71">
        <f t="shared" si="21"/>
        <v>100</v>
      </c>
      <c r="AY30" s="71" t="str">
        <f t="shared" si="22"/>
        <v>Fuerte</v>
      </c>
      <c r="AZ30" s="75" t="s">
        <v>75</v>
      </c>
      <c r="BA30" s="71" t="str">
        <f t="shared" si="23"/>
        <v>Fuerte</v>
      </c>
      <c r="BB30" s="71" t="str">
        <f>IFERROR(VLOOKUP((CONCATENATE(AY30,BA30)),Listados!$U$3:$V$11,2,FALSE),"")</f>
        <v>Fuerte</v>
      </c>
      <c r="BC30" s="81">
        <f t="shared" si="24"/>
        <v>100</v>
      </c>
      <c r="BD30" s="567"/>
      <c r="BE30" s="567"/>
      <c r="BF30" s="567"/>
      <c r="BG30" s="567"/>
      <c r="BH30" s="582"/>
      <c r="BI30" s="582"/>
      <c r="BJ30" s="582"/>
      <c r="BK30" s="582"/>
      <c r="BL30" s="346" t="s">
        <v>971</v>
      </c>
      <c r="BM30" s="344" t="s">
        <v>958</v>
      </c>
      <c r="BN30" s="349">
        <v>45658</v>
      </c>
      <c r="BO30" s="349">
        <v>46022</v>
      </c>
      <c r="BP30" s="344" t="s">
        <v>959</v>
      </c>
      <c r="BQ30" s="344" t="s">
        <v>972</v>
      </c>
      <c r="BR30" s="355" t="s">
        <v>973</v>
      </c>
      <c r="BS30" s="790"/>
      <c r="BT30" s="779"/>
      <c r="BU30" s="848"/>
      <c r="BV30" s="779"/>
      <c r="BW30" s="651"/>
    </row>
    <row r="31" spans="1:75" ht="15.75" thickBot="1">
      <c r="A31" s="916"/>
      <c r="B31" s="581"/>
      <c r="C31" s="583"/>
      <c r="D31" s="581"/>
      <c r="E31" s="279"/>
      <c r="F31" s="286"/>
      <c r="G31" s="269"/>
      <c r="H31" s="581"/>
      <c r="I31" s="581"/>
      <c r="J31" s="581"/>
      <c r="K31" s="581"/>
      <c r="L31" s="581"/>
      <c r="M31" s="581"/>
      <c r="N31" s="581"/>
      <c r="O31" s="581"/>
      <c r="P31" s="581"/>
      <c r="Q31" s="581"/>
      <c r="R31" s="581"/>
      <c r="S31" s="581"/>
      <c r="T31" s="581"/>
      <c r="U31" s="581"/>
      <c r="V31" s="581"/>
      <c r="W31" s="581"/>
      <c r="X31" s="581"/>
      <c r="Y31" s="581"/>
      <c r="Z31" s="581"/>
      <c r="AA31" s="583"/>
      <c r="AB31" s="587"/>
      <c r="AC31" s="570"/>
      <c r="AD31" s="570"/>
      <c r="AE31" s="570"/>
      <c r="AF31" s="570"/>
      <c r="AG31" s="288"/>
      <c r="AH31" s="125"/>
      <c r="AI31" s="260"/>
      <c r="AJ31" s="281"/>
      <c r="AK31" s="261" t="str">
        <f t="shared" si="0"/>
        <v>0</v>
      </c>
      <c r="AL31" s="281"/>
      <c r="AM31" s="261" t="str">
        <f t="shared" si="1"/>
        <v>0</v>
      </c>
      <c r="AN31" s="260"/>
      <c r="AO31" s="261" t="str">
        <f t="shared" si="6"/>
        <v>0</v>
      </c>
      <c r="AP31" s="260"/>
      <c r="AQ31" s="261" t="str">
        <f t="shared" si="2"/>
        <v>0</v>
      </c>
      <c r="AR31" s="260"/>
      <c r="AS31" s="261" t="str">
        <f t="shared" si="3"/>
        <v>0</v>
      </c>
      <c r="AT31" s="260"/>
      <c r="AU31" s="261" t="str">
        <f t="shared" si="4"/>
        <v>0</v>
      </c>
      <c r="AV31" s="126"/>
      <c r="AW31" s="261" t="str">
        <f t="shared" si="5"/>
        <v>0</v>
      </c>
      <c r="AX31" s="132" t="str">
        <f t="shared" si="21"/>
        <v/>
      </c>
      <c r="AY31" s="103" t="str">
        <f t="shared" si="22"/>
        <v/>
      </c>
      <c r="AZ31" s="104"/>
      <c r="BA31" s="103" t="str">
        <f t="shared" si="23"/>
        <v/>
      </c>
      <c r="BB31" s="103" t="str">
        <f>IFERROR(VLOOKUP((CONCATENATE(AY31,BA31)),Listados!$U$3:$V$11,2,FALSE),"")</f>
        <v/>
      </c>
      <c r="BC31" s="132" t="str">
        <f t="shared" si="24"/>
        <v/>
      </c>
      <c r="BD31" s="568"/>
      <c r="BE31" s="568"/>
      <c r="BF31" s="568"/>
      <c r="BG31" s="568"/>
      <c r="BH31" s="583"/>
      <c r="BI31" s="583"/>
      <c r="BJ31" s="583"/>
      <c r="BK31" s="583"/>
      <c r="BL31" s="249"/>
      <c r="BM31" s="249"/>
      <c r="BN31" s="250"/>
      <c r="BO31" s="250"/>
      <c r="BP31" s="249"/>
      <c r="BQ31" s="249"/>
      <c r="BR31" s="169"/>
      <c r="BS31" s="791"/>
      <c r="BT31" s="847"/>
      <c r="BU31" s="934"/>
      <c r="BV31" s="847"/>
      <c r="BW31" s="652"/>
    </row>
    <row r="32" spans="1:75" ht="165">
      <c r="A32" s="914">
        <v>7</v>
      </c>
      <c r="B32" s="571" t="s">
        <v>764</v>
      </c>
      <c r="C32" s="632" t="s">
        <v>974</v>
      </c>
      <c r="D32" s="571" t="s">
        <v>975</v>
      </c>
      <c r="E32" s="157" t="s">
        <v>976</v>
      </c>
      <c r="F32" s="114" t="s">
        <v>67</v>
      </c>
      <c r="G32" s="115" t="s">
        <v>977</v>
      </c>
      <c r="H32" s="571" t="s">
        <v>73</v>
      </c>
      <c r="I32" s="571" t="s">
        <v>73</v>
      </c>
      <c r="J32" s="571" t="s">
        <v>73</v>
      </c>
      <c r="K32" s="571" t="s">
        <v>869</v>
      </c>
      <c r="L32" s="571" t="s">
        <v>73</v>
      </c>
      <c r="M32" s="571" t="s">
        <v>73</v>
      </c>
      <c r="N32" s="571" t="s">
        <v>869</v>
      </c>
      <c r="O32" s="571" t="s">
        <v>869</v>
      </c>
      <c r="P32" s="571" t="s">
        <v>73</v>
      </c>
      <c r="Q32" s="571" t="s">
        <v>73</v>
      </c>
      <c r="R32" s="571" t="s">
        <v>73</v>
      </c>
      <c r="S32" s="571" t="s">
        <v>73</v>
      </c>
      <c r="T32" s="571" t="s">
        <v>869</v>
      </c>
      <c r="U32" s="571" t="s">
        <v>869</v>
      </c>
      <c r="V32" s="571" t="s">
        <v>73</v>
      </c>
      <c r="W32" s="571" t="s">
        <v>869</v>
      </c>
      <c r="X32" s="571" t="s">
        <v>869</v>
      </c>
      <c r="Y32" s="571" t="s">
        <v>869</v>
      </c>
      <c r="Z32" s="571" t="s">
        <v>869</v>
      </c>
      <c r="AA32" s="632">
        <f>COUNTIF(H32:Z32, "SI")</f>
        <v>10</v>
      </c>
      <c r="AB32" s="585" t="s">
        <v>180</v>
      </c>
      <c r="AC32" s="569">
        <f>+VLOOKUP(AB32,Listados!$K$8:$L$12,2,0)</f>
        <v>2</v>
      </c>
      <c r="AD32" s="569" t="str">
        <f>++IF(OR(AA32=0),"",IF(OR(AA32=1,AA32&lt;=5),"Moderado",IF(OR(AA32=6,AA32&lt;=11),"Mayor",IF(OR(AA32&gt;=12),"Catastrófico",""))))</f>
        <v>Mayor</v>
      </c>
      <c r="AE32" s="569">
        <f>+VLOOKUP(AD32,Listados!$K$13:$L$17,2,0)</f>
        <v>4</v>
      </c>
      <c r="AF32" s="569" t="str">
        <f>IF(AND(AB32&lt;&gt;"",AD32&lt;&gt;""),VLOOKUP(AB32&amp;AD32,[3]Listados!$M$3:$N$27,2,FALSE),"")</f>
        <v>Alto</v>
      </c>
      <c r="AG32" s="158" t="s">
        <v>978</v>
      </c>
      <c r="AH32" s="117" t="s">
        <v>976</v>
      </c>
      <c r="AI32" s="115" t="s">
        <v>83</v>
      </c>
      <c r="AJ32" s="94" t="s">
        <v>73</v>
      </c>
      <c r="AK32" s="93">
        <f>+IF(AJ32="si",15,"0")</f>
        <v>15</v>
      </c>
      <c r="AL32" s="94" t="s">
        <v>73</v>
      </c>
      <c r="AM32" s="93">
        <f>+IF(AL32="si",15,"0")</f>
        <v>15</v>
      </c>
      <c r="AN32" s="94" t="s">
        <v>73</v>
      </c>
      <c r="AO32" s="93">
        <f>+IF(AN32="si",15,"0")</f>
        <v>15</v>
      </c>
      <c r="AP32" s="115" t="s">
        <v>72</v>
      </c>
      <c r="AQ32" s="93">
        <f>+IF(AP32="Preventivo",15,IF(AP32="Detectivo",10,"0"))</f>
        <v>15</v>
      </c>
      <c r="AR32" s="115" t="s">
        <v>73</v>
      </c>
      <c r="AS32" s="93">
        <f>+IF(AR32="si",15,"0")</f>
        <v>15</v>
      </c>
      <c r="AT32" s="115" t="s">
        <v>73</v>
      </c>
      <c r="AU32" s="93">
        <f>+IF(AT32="si",15,"0")</f>
        <v>15</v>
      </c>
      <c r="AV32" s="115" t="s">
        <v>74</v>
      </c>
      <c r="AW32" s="93">
        <f>+IF(AV32="Completa",10,IF(AV32="Incompleta",5,"0"))</f>
        <v>10</v>
      </c>
      <c r="AX32" s="119">
        <f t="shared" si="21"/>
        <v>100</v>
      </c>
      <c r="AY32" s="119" t="str">
        <f t="shared" si="22"/>
        <v>Fuerte</v>
      </c>
      <c r="AZ32" s="118" t="s">
        <v>75</v>
      </c>
      <c r="BA32" s="119" t="str">
        <f t="shared" si="23"/>
        <v>Fuerte</v>
      </c>
      <c r="BB32" s="119" t="str">
        <f>IFERROR(VLOOKUP((CONCATENATE(AY32,BA32)),Listados!$U$3:$V$11,2,FALSE),"")</f>
        <v>Fuerte</v>
      </c>
      <c r="BC32" s="119">
        <f t="shared" si="24"/>
        <v>100</v>
      </c>
      <c r="BD32" s="566">
        <f>AVERAGE(BC32:BC35)</f>
        <v>100</v>
      </c>
      <c r="BE32" s="566" t="str">
        <f>IF(BD32&lt;=50,"Débil",IF(BD32&lt;=99,"Moderado",IF(BD32=100,"fuerte","")))</f>
        <v>fuerte</v>
      </c>
      <c r="BF32" s="566">
        <f>+IF(AND(AI32="Preventivo",BE32="Fuerte"),2,IF(AND(AI32="Preventivo",BE32="Moderado"),1,0))</f>
        <v>0</v>
      </c>
      <c r="BG32" s="566">
        <f>+AC32-BF32</f>
        <v>2</v>
      </c>
      <c r="BH32" s="632" t="str">
        <f>+VLOOKUP(MIN(BG32),Listados!$J$18:$K$24,2,TRUE)</f>
        <v>Improbable</v>
      </c>
      <c r="BI32" s="632" t="str">
        <f>AD32</f>
        <v>Mayor</v>
      </c>
      <c r="BJ32" s="632" t="str">
        <f>IF(AND(BH32&lt;&gt;"",BI32&lt;&gt;""),VLOOKUP(BH32&amp;BI32,Listados!$M$3:$N$27,2,FALSE),"")</f>
        <v>Alto</v>
      </c>
      <c r="BK32" s="632" t="str">
        <f>+VLOOKUP(BJ32,Listados!$P$3:$Q$6,2,FALSE)</f>
        <v>Reducir el riesgo</v>
      </c>
      <c r="BL32" s="97" t="s">
        <v>979</v>
      </c>
      <c r="BM32" s="97" t="s">
        <v>980</v>
      </c>
      <c r="BN32" s="98">
        <v>45658</v>
      </c>
      <c r="BO32" s="99">
        <v>46022</v>
      </c>
      <c r="BP32" s="97" t="s">
        <v>981</v>
      </c>
      <c r="BQ32" s="97" t="s">
        <v>982</v>
      </c>
      <c r="BR32" s="174" t="s">
        <v>983</v>
      </c>
      <c r="BS32" s="789"/>
      <c r="BT32" s="846"/>
      <c r="BU32" s="933"/>
      <c r="BV32" s="846"/>
      <c r="BW32" s="650"/>
    </row>
    <row r="33" spans="1:75">
      <c r="A33" s="915"/>
      <c r="B33" s="580"/>
      <c r="C33" s="582"/>
      <c r="D33" s="580"/>
      <c r="E33" s="375"/>
      <c r="F33" s="388"/>
      <c r="G33" s="348"/>
      <c r="H33" s="580"/>
      <c r="I33" s="580"/>
      <c r="J33" s="580"/>
      <c r="K33" s="580"/>
      <c r="L33" s="580"/>
      <c r="M33" s="580"/>
      <c r="N33" s="580"/>
      <c r="O33" s="580"/>
      <c r="P33" s="580"/>
      <c r="Q33" s="580"/>
      <c r="R33" s="580"/>
      <c r="S33" s="580"/>
      <c r="T33" s="580"/>
      <c r="U33" s="580"/>
      <c r="V33" s="580"/>
      <c r="W33" s="580"/>
      <c r="X33" s="580"/>
      <c r="Y33" s="580"/>
      <c r="Z33" s="580"/>
      <c r="AA33" s="582"/>
      <c r="AB33" s="573"/>
      <c r="AC33" s="565"/>
      <c r="AD33" s="565"/>
      <c r="AE33" s="565"/>
      <c r="AF33" s="565"/>
      <c r="AG33" s="376"/>
      <c r="AH33" s="386"/>
      <c r="AI33" s="348"/>
      <c r="AJ33" s="348"/>
      <c r="AK33" s="333" t="str">
        <f t="shared" si="0"/>
        <v>0</v>
      </c>
      <c r="AL33" s="348"/>
      <c r="AM33" s="333" t="str">
        <f t="shared" si="1"/>
        <v>0</v>
      </c>
      <c r="AN33" s="348"/>
      <c r="AO33" s="333" t="str">
        <f t="shared" si="6"/>
        <v>0</v>
      </c>
      <c r="AP33" s="348"/>
      <c r="AQ33" s="333" t="str">
        <f t="shared" si="2"/>
        <v>0</v>
      </c>
      <c r="AR33" s="348"/>
      <c r="AS33" s="333" t="str">
        <f t="shared" si="3"/>
        <v>0</v>
      </c>
      <c r="AT33" s="348"/>
      <c r="AU33" s="333" t="str">
        <f t="shared" si="4"/>
        <v>0</v>
      </c>
      <c r="AV33" s="55"/>
      <c r="AW33" s="333" t="str">
        <f t="shared" si="5"/>
        <v>0</v>
      </c>
      <c r="AX33" s="81" t="str">
        <f t="shared" si="21"/>
        <v/>
      </c>
      <c r="AY33" s="81" t="str">
        <f t="shared" si="22"/>
        <v/>
      </c>
      <c r="AZ33" s="82"/>
      <c r="BA33" s="81" t="str">
        <f t="shared" si="23"/>
        <v/>
      </c>
      <c r="BB33" s="81" t="str">
        <f>IFERROR(VLOOKUP((CONCATENATE(AY33,BA33)),Listados!$U$3:$V$11,2,FALSE),"")</f>
        <v/>
      </c>
      <c r="BC33" s="81" t="str">
        <f t="shared" si="24"/>
        <v/>
      </c>
      <c r="BD33" s="567"/>
      <c r="BE33" s="567"/>
      <c r="BF33" s="567"/>
      <c r="BG33" s="567"/>
      <c r="BH33" s="582"/>
      <c r="BI33" s="582"/>
      <c r="BJ33" s="582"/>
      <c r="BK33" s="582"/>
      <c r="BL33" s="336"/>
      <c r="BM33" s="336"/>
      <c r="BN33" s="336"/>
      <c r="BO33" s="336"/>
      <c r="BP33" s="336"/>
      <c r="BQ33" s="336"/>
      <c r="BR33" s="172"/>
      <c r="BS33" s="790"/>
      <c r="BT33" s="779"/>
      <c r="BU33" s="848"/>
      <c r="BV33" s="779"/>
      <c r="BW33" s="651"/>
    </row>
    <row r="34" spans="1:75">
      <c r="A34" s="915"/>
      <c r="B34" s="580"/>
      <c r="C34" s="582"/>
      <c r="D34" s="580"/>
      <c r="E34" s="375"/>
      <c r="F34" s="388"/>
      <c r="G34" s="348"/>
      <c r="H34" s="580"/>
      <c r="I34" s="580"/>
      <c r="J34" s="580"/>
      <c r="K34" s="580"/>
      <c r="L34" s="580"/>
      <c r="M34" s="580"/>
      <c r="N34" s="580"/>
      <c r="O34" s="580"/>
      <c r="P34" s="580"/>
      <c r="Q34" s="580"/>
      <c r="R34" s="580"/>
      <c r="S34" s="580"/>
      <c r="T34" s="580"/>
      <c r="U34" s="580"/>
      <c r="V34" s="580"/>
      <c r="W34" s="580"/>
      <c r="X34" s="580"/>
      <c r="Y34" s="580"/>
      <c r="Z34" s="580"/>
      <c r="AA34" s="582"/>
      <c r="AB34" s="573"/>
      <c r="AC34" s="565"/>
      <c r="AD34" s="565"/>
      <c r="AE34" s="565"/>
      <c r="AF34" s="565"/>
      <c r="AG34" s="376"/>
      <c r="AH34" s="386"/>
      <c r="AI34" s="348"/>
      <c r="AJ34" s="348"/>
      <c r="AK34" s="333" t="str">
        <f t="shared" si="0"/>
        <v>0</v>
      </c>
      <c r="AL34" s="348"/>
      <c r="AM34" s="333" t="str">
        <f t="shared" si="1"/>
        <v>0</v>
      </c>
      <c r="AN34" s="332"/>
      <c r="AO34" s="333" t="str">
        <f t="shared" si="6"/>
        <v>0</v>
      </c>
      <c r="AP34" s="348"/>
      <c r="AQ34" s="333" t="str">
        <f t="shared" si="2"/>
        <v>0</v>
      </c>
      <c r="AR34" s="348"/>
      <c r="AS34" s="333" t="str">
        <f t="shared" si="3"/>
        <v>0</v>
      </c>
      <c r="AT34" s="348"/>
      <c r="AU34" s="333" t="str">
        <f t="shared" si="4"/>
        <v>0</v>
      </c>
      <c r="AV34" s="55"/>
      <c r="AW34" s="333" t="str">
        <f t="shared" si="5"/>
        <v>0</v>
      </c>
      <c r="AX34" s="81" t="str">
        <f t="shared" si="21"/>
        <v/>
      </c>
      <c r="AY34" s="81" t="str">
        <f t="shared" si="22"/>
        <v/>
      </c>
      <c r="AZ34" s="82"/>
      <c r="BA34" s="81" t="str">
        <f t="shared" si="23"/>
        <v/>
      </c>
      <c r="BB34" s="81" t="str">
        <f>IFERROR(VLOOKUP((CONCATENATE(AY34,BA34)),Listados!$U$3:$V$11,2,FALSE),"")</f>
        <v/>
      </c>
      <c r="BC34" s="81" t="str">
        <f t="shared" si="24"/>
        <v/>
      </c>
      <c r="BD34" s="567"/>
      <c r="BE34" s="567"/>
      <c r="BF34" s="567"/>
      <c r="BG34" s="567"/>
      <c r="BH34" s="582"/>
      <c r="BI34" s="582"/>
      <c r="BJ34" s="582"/>
      <c r="BK34" s="582"/>
      <c r="BL34" s="336"/>
      <c r="BM34" s="336"/>
      <c r="BN34" s="339"/>
      <c r="BO34" s="339"/>
      <c r="BP34" s="336"/>
      <c r="BQ34" s="336"/>
      <c r="BR34" s="172"/>
      <c r="BS34" s="790"/>
      <c r="BT34" s="779"/>
      <c r="BU34" s="848"/>
      <c r="BV34" s="779"/>
      <c r="BW34" s="651"/>
    </row>
    <row r="35" spans="1:75" ht="15.75" thickBot="1">
      <c r="A35" s="916"/>
      <c r="B35" s="581"/>
      <c r="C35" s="583"/>
      <c r="D35" s="581"/>
      <c r="E35" s="279"/>
      <c r="F35" s="286"/>
      <c r="G35" s="269"/>
      <c r="H35" s="581"/>
      <c r="I35" s="581"/>
      <c r="J35" s="581"/>
      <c r="K35" s="581"/>
      <c r="L35" s="581"/>
      <c r="M35" s="581"/>
      <c r="N35" s="581"/>
      <c r="O35" s="581"/>
      <c r="P35" s="581"/>
      <c r="Q35" s="581"/>
      <c r="R35" s="581"/>
      <c r="S35" s="581"/>
      <c r="T35" s="581"/>
      <c r="U35" s="581"/>
      <c r="V35" s="581"/>
      <c r="W35" s="581"/>
      <c r="X35" s="581"/>
      <c r="Y35" s="581"/>
      <c r="Z35" s="581"/>
      <c r="AA35" s="583"/>
      <c r="AB35" s="587"/>
      <c r="AC35" s="570"/>
      <c r="AD35" s="570"/>
      <c r="AE35" s="570"/>
      <c r="AF35" s="570"/>
      <c r="AG35" s="280"/>
      <c r="AH35" s="289"/>
      <c r="AI35" s="269"/>
      <c r="AJ35" s="269"/>
      <c r="AK35" s="261" t="str">
        <f t="shared" si="0"/>
        <v>0</v>
      </c>
      <c r="AL35" s="269"/>
      <c r="AM35" s="261" t="str">
        <f t="shared" si="1"/>
        <v>0</v>
      </c>
      <c r="AN35" s="260"/>
      <c r="AO35" s="261" t="str">
        <f t="shared" si="6"/>
        <v>0</v>
      </c>
      <c r="AP35" s="269"/>
      <c r="AQ35" s="261" t="str">
        <f t="shared" si="2"/>
        <v>0</v>
      </c>
      <c r="AR35" s="269"/>
      <c r="AS35" s="261" t="str">
        <f t="shared" si="3"/>
        <v>0</v>
      </c>
      <c r="AT35" s="269"/>
      <c r="AU35" s="261" t="str">
        <f t="shared" si="4"/>
        <v>0</v>
      </c>
      <c r="AV35" s="126"/>
      <c r="AW35" s="261" t="str">
        <f t="shared" si="5"/>
        <v>0</v>
      </c>
      <c r="AX35" s="132" t="str">
        <f t="shared" si="21"/>
        <v/>
      </c>
      <c r="AY35" s="132" t="str">
        <f t="shared" si="22"/>
        <v/>
      </c>
      <c r="AZ35" s="140"/>
      <c r="BA35" s="132" t="str">
        <f t="shared" si="23"/>
        <v/>
      </c>
      <c r="BB35" s="132" t="str">
        <f>IFERROR(VLOOKUP((CONCATENATE(AY35,BA35)),Listados!$U$3:$V$11,2,FALSE),"")</f>
        <v/>
      </c>
      <c r="BC35" s="132" t="str">
        <f t="shared" si="24"/>
        <v/>
      </c>
      <c r="BD35" s="568"/>
      <c r="BE35" s="568"/>
      <c r="BF35" s="568"/>
      <c r="BG35" s="568"/>
      <c r="BH35" s="583"/>
      <c r="BI35" s="583"/>
      <c r="BJ35" s="583"/>
      <c r="BK35" s="583"/>
      <c r="BL35" s="249"/>
      <c r="BM35" s="249"/>
      <c r="BN35" s="250"/>
      <c r="BO35" s="250"/>
      <c r="BP35" s="249"/>
      <c r="BQ35" s="249"/>
      <c r="BR35" s="173"/>
      <c r="BS35" s="791"/>
      <c r="BT35" s="847"/>
      <c r="BU35" s="934"/>
      <c r="BV35" s="847"/>
      <c r="BW35" s="652"/>
    </row>
    <row r="36" spans="1:75" ht="165">
      <c r="A36" s="914">
        <v>8</v>
      </c>
      <c r="B36" s="571" t="s">
        <v>275</v>
      </c>
      <c r="C36" s="647" t="s">
        <v>539</v>
      </c>
      <c r="D36" s="883" t="s">
        <v>984</v>
      </c>
      <c r="E36" s="113" t="s">
        <v>985</v>
      </c>
      <c r="F36" s="138" t="s">
        <v>67</v>
      </c>
      <c r="G36" s="156" t="s">
        <v>986</v>
      </c>
      <c r="H36" s="571" t="s">
        <v>73</v>
      </c>
      <c r="I36" s="571" t="s">
        <v>73</v>
      </c>
      <c r="J36" s="571" t="s">
        <v>73</v>
      </c>
      <c r="K36" s="571" t="s">
        <v>73</v>
      </c>
      <c r="L36" s="571" t="s">
        <v>73</v>
      </c>
      <c r="M36" s="571" t="s">
        <v>73</v>
      </c>
      <c r="N36" s="571" t="s">
        <v>869</v>
      </c>
      <c r="O36" s="571" t="s">
        <v>869</v>
      </c>
      <c r="P36" s="571" t="s">
        <v>73</v>
      </c>
      <c r="Q36" s="571" t="s">
        <v>73</v>
      </c>
      <c r="R36" s="571" t="s">
        <v>73</v>
      </c>
      <c r="S36" s="571" t="s">
        <v>73</v>
      </c>
      <c r="T36" s="571" t="s">
        <v>869</v>
      </c>
      <c r="U36" s="571" t="s">
        <v>73</v>
      </c>
      <c r="V36" s="571" t="s">
        <v>73</v>
      </c>
      <c r="W36" s="571" t="s">
        <v>869</v>
      </c>
      <c r="X36" s="571" t="s">
        <v>869</v>
      </c>
      <c r="Y36" s="571" t="s">
        <v>869</v>
      </c>
      <c r="Z36" s="571" t="s">
        <v>73</v>
      </c>
      <c r="AA36" s="632">
        <f>COUNTIF(H36:Z36, "SI")</f>
        <v>13</v>
      </c>
      <c r="AB36" s="585" t="s">
        <v>412</v>
      </c>
      <c r="AC36" s="569">
        <f>+VLOOKUP(AB36,Listados!$K$8:$L$12,2,0)</f>
        <v>1</v>
      </c>
      <c r="AD36" s="569" t="str">
        <f>++IF(OR(AA36=0),"",IF(OR(AA36=1,AA36&lt;=5),"Moderado",IF(OR(AA36=6,AA36&lt;=11),"Mayor",IF(OR(AA36&gt;=12),"Catastrófico",""))))</f>
        <v>Catastrófico</v>
      </c>
      <c r="AE36" s="569">
        <f>+VLOOKUP(AD36,Listados!$K$13:$L$17,2,0)</f>
        <v>5</v>
      </c>
      <c r="AF36" s="569" t="str">
        <f>IF(AND(AB36&lt;&gt;"",AD36&lt;&gt;""),VLOOKUP(AB36&amp;AD36,[3]Listados!$M$3:$N$27,2,FALSE),"")</f>
        <v>Extremo</v>
      </c>
      <c r="AG36" s="116" t="s">
        <v>987</v>
      </c>
      <c r="AH36" s="117" t="s">
        <v>985</v>
      </c>
      <c r="AI36" s="115" t="s">
        <v>72</v>
      </c>
      <c r="AJ36" s="115" t="s">
        <v>73</v>
      </c>
      <c r="AK36" s="93">
        <f>+IF(AJ36="si",15,"0")</f>
        <v>15</v>
      </c>
      <c r="AL36" s="115" t="s">
        <v>73</v>
      </c>
      <c r="AM36" s="93">
        <f>+IF(AL36="si",15,"0")</f>
        <v>15</v>
      </c>
      <c r="AN36" s="115" t="s">
        <v>73</v>
      </c>
      <c r="AO36" s="93">
        <f>+IF(AN36="si",15,"0")</f>
        <v>15</v>
      </c>
      <c r="AP36" s="115" t="s">
        <v>72</v>
      </c>
      <c r="AQ36" s="93">
        <f>+IF(AP36="Preventivo",15,IF(AP36="Detectivo",10,"0"))</f>
        <v>15</v>
      </c>
      <c r="AR36" s="115" t="s">
        <v>73</v>
      </c>
      <c r="AS36" s="93">
        <f>+IF(AR36="si",15,"0")</f>
        <v>15</v>
      </c>
      <c r="AT36" s="115" t="s">
        <v>73</v>
      </c>
      <c r="AU36" s="93">
        <f>+IF(AT36="si",15,"0")</f>
        <v>15</v>
      </c>
      <c r="AV36" s="115" t="s">
        <v>74</v>
      </c>
      <c r="AW36" s="93">
        <f>+IF(AV36="Completa",10,IF(AV36="Incompleta",5,"0"))</f>
        <v>10</v>
      </c>
      <c r="AX36" s="119">
        <f t="shared" si="21"/>
        <v>100</v>
      </c>
      <c r="AY36" s="119" t="str">
        <f t="shared" si="22"/>
        <v>Fuerte</v>
      </c>
      <c r="AZ36" s="118" t="s">
        <v>75</v>
      </c>
      <c r="BA36" s="119" t="str">
        <f t="shared" si="23"/>
        <v>Fuerte</v>
      </c>
      <c r="BB36" s="119" t="str">
        <f>IFERROR(VLOOKUP((CONCATENATE(AY36,BA36)),Listados!$U$3:$V$11,2,FALSE),"")</f>
        <v>Fuerte</v>
      </c>
      <c r="BC36" s="119">
        <f t="shared" si="24"/>
        <v>100</v>
      </c>
      <c r="BD36" s="566">
        <f>AVERAGE(BC36:BC39)</f>
        <v>100</v>
      </c>
      <c r="BE36" s="566" t="str">
        <f>IF(BD36&lt;=50,"Débil",IF(BD36&lt;=99,"Moderado",IF(BD36=100,"fuerte","")))</f>
        <v>fuerte</v>
      </c>
      <c r="BF36" s="566">
        <f>+IF(AND(AI36="Preventivo",BE36="Fuerte"),2,IF(AND(AI36="Preventivo",BE36="Moderado"),1,0))</f>
        <v>2</v>
      </c>
      <c r="BG36" s="566">
        <f>+AC36-BF36</f>
        <v>-1</v>
      </c>
      <c r="BH36" s="632" t="str">
        <f>+VLOOKUP(MIN(BG36),Listados!$J$18:$K$24,2,TRUE)</f>
        <v>Rara Vez</v>
      </c>
      <c r="BI36" s="632" t="str">
        <f>AD36</f>
        <v>Catastrófico</v>
      </c>
      <c r="BJ36" s="632" t="str">
        <f>IF(AND(BH36&lt;&gt;"",BI36&lt;&gt;""),VLOOKUP(BH36&amp;BI36,Listados!$M$3:$N$27,2,FALSE),"")</f>
        <v>Extremo</v>
      </c>
      <c r="BK36" s="632" t="str">
        <f>+VLOOKUP(BJ36,Listados!$P$3:$Q$6,2,FALSE)</f>
        <v>Reducir el riesgo</v>
      </c>
      <c r="BL36" s="145" t="s">
        <v>988</v>
      </c>
      <c r="BM36" s="145" t="s">
        <v>546</v>
      </c>
      <c r="BN36" s="122">
        <v>45839</v>
      </c>
      <c r="BO36" s="123">
        <v>46022</v>
      </c>
      <c r="BP36" s="145" t="s">
        <v>547</v>
      </c>
      <c r="BQ36" s="145" t="s">
        <v>989</v>
      </c>
      <c r="BR36" s="789"/>
      <c r="BS36" s="789"/>
      <c r="BT36" s="846"/>
      <c r="BU36" s="933"/>
      <c r="BV36" s="846"/>
      <c r="BW36" s="650"/>
    </row>
    <row r="37" spans="1:75" ht="76.5">
      <c r="A37" s="915"/>
      <c r="B37" s="580"/>
      <c r="C37" s="770"/>
      <c r="D37" s="884"/>
      <c r="E37" s="363" t="s">
        <v>990</v>
      </c>
      <c r="F37" s="371" t="s">
        <v>67</v>
      </c>
      <c r="G37" s="370" t="s">
        <v>991</v>
      </c>
      <c r="H37" s="580"/>
      <c r="I37" s="580"/>
      <c r="J37" s="580"/>
      <c r="K37" s="580"/>
      <c r="L37" s="580"/>
      <c r="M37" s="580"/>
      <c r="N37" s="580"/>
      <c r="O37" s="580"/>
      <c r="P37" s="580"/>
      <c r="Q37" s="580"/>
      <c r="R37" s="580"/>
      <c r="S37" s="580"/>
      <c r="T37" s="580"/>
      <c r="U37" s="580"/>
      <c r="V37" s="580"/>
      <c r="W37" s="580"/>
      <c r="X37" s="580"/>
      <c r="Y37" s="580"/>
      <c r="Z37" s="580"/>
      <c r="AA37" s="582"/>
      <c r="AB37" s="573"/>
      <c r="AC37" s="565"/>
      <c r="AD37" s="565"/>
      <c r="AE37" s="565"/>
      <c r="AF37" s="565"/>
      <c r="AG37" s="376"/>
      <c r="AH37" s="386"/>
      <c r="AI37" s="348"/>
      <c r="AJ37" s="348"/>
      <c r="AK37" s="333" t="str">
        <f t="shared" si="0"/>
        <v>0</v>
      </c>
      <c r="AL37" s="348"/>
      <c r="AM37" s="333" t="str">
        <f t="shared" si="1"/>
        <v>0</v>
      </c>
      <c r="AN37" s="348"/>
      <c r="AO37" s="333" t="str">
        <f t="shared" si="6"/>
        <v>0</v>
      </c>
      <c r="AP37" s="348"/>
      <c r="AQ37" s="333" t="str">
        <f t="shared" si="2"/>
        <v>0</v>
      </c>
      <c r="AR37" s="348"/>
      <c r="AS37" s="333" t="str">
        <f t="shared" si="3"/>
        <v>0</v>
      </c>
      <c r="AT37" s="348"/>
      <c r="AU37" s="333" t="str">
        <f t="shared" si="4"/>
        <v>0</v>
      </c>
      <c r="AV37" s="55"/>
      <c r="AW37" s="333" t="str">
        <f t="shared" si="5"/>
        <v>0</v>
      </c>
      <c r="AX37" s="81" t="str">
        <f t="shared" si="21"/>
        <v/>
      </c>
      <c r="AY37" s="81" t="str">
        <f t="shared" si="22"/>
        <v/>
      </c>
      <c r="AZ37" s="82"/>
      <c r="BA37" s="81" t="str">
        <f t="shared" si="23"/>
        <v/>
      </c>
      <c r="BB37" s="81" t="str">
        <f>IFERROR(VLOOKUP((CONCATENATE(AY37,BA37)),Listados!$U$3:$V$11,2,FALSE),"")</f>
        <v/>
      </c>
      <c r="BC37" s="81" t="str">
        <f t="shared" si="24"/>
        <v/>
      </c>
      <c r="BD37" s="567"/>
      <c r="BE37" s="567"/>
      <c r="BF37" s="567"/>
      <c r="BG37" s="567"/>
      <c r="BH37" s="582"/>
      <c r="BI37" s="582"/>
      <c r="BJ37" s="582"/>
      <c r="BK37" s="582"/>
      <c r="BL37" s="346" t="s">
        <v>992</v>
      </c>
      <c r="BM37" s="346" t="s">
        <v>557</v>
      </c>
      <c r="BN37" s="349">
        <v>45748</v>
      </c>
      <c r="BO37" s="365">
        <v>46022</v>
      </c>
      <c r="BP37" s="346" t="s">
        <v>547</v>
      </c>
      <c r="BQ37" s="346" t="s">
        <v>558</v>
      </c>
      <c r="BR37" s="790"/>
      <c r="BS37" s="790"/>
      <c r="BT37" s="779"/>
      <c r="BU37" s="848"/>
      <c r="BV37" s="779"/>
      <c r="BW37" s="651"/>
    </row>
    <row r="38" spans="1:75" ht="51">
      <c r="A38" s="915"/>
      <c r="B38" s="580"/>
      <c r="C38" s="770"/>
      <c r="D38" s="884"/>
      <c r="E38" s="363" t="s">
        <v>993</v>
      </c>
      <c r="F38" s="371" t="s">
        <v>67</v>
      </c>
      <c r="G38" s="370" t="s">
        <v>986</v>
      </c>
      <c r="H38" s="580"/>
      <c r="I38" s="580"/>
      <c r="J38" s="580"/>
      <c r="K38" s="580"/>
      <c r="L38" s="580"/>
      <c r="M38" s="580"/>
      <c r="N38" s="580"/>
      <c r="O38" s="580"/>
      <c r="P38" s="580"/>
      <c r="Q38" s="580"/>
      <c r="R38" s="580"/>
      <c r="S38" s="580"/>
      <c r="T38" s="580"/>
      <c r="U38" s="580"/>
      <c r="V38" s="580"/>
      <c r="W38" s="580"/>
      <c r="X38" s="580"/>
      <c r="Y38" s="580"/>
      <c r="Z38" s="580"/>
      <c r="AA38" s="582"/>
      <c r="AB38" s="573"/>
      <c r="AC38" s="565"/>
      <c r="AD38" s="565"/>
      <c r="AE38" s="565"/>
      <c r="AF38" s="565"/>
      <c r="AG38" s="376"/>
      <c r="AH38" s="386"/>
      <c r="AI38" s="348"/>
      <c r="AJ38" s="348"/>
      <c r="AK38" s="333" t="str">
        <f t="shared" si="0"/>
        <v>0</v>
      </c>
      <c r="AL38" s="348"/>
      <c r="AM38" s="333" t="str">
        <f t="shared" si="1"/>
        <v>0</v>
      </c>
      <c r="AN38" s="332"/>
      <c r="AO38" s="333" t="str">
        <f t="shared" si="6"/>
        <v>0</v>
      </c>
      <c r="AP38" s="348"/>
      <c r="AQ38" s="333" t="str">
        <f t="shared" si="2"/>
        <v>0</v>
      </c>
      <c r="AR38" s="348"/>
      <c r="AS38" s="333" t="str">
        <f t="shared" si="3"/>
        <v>0</v>
      </c>
      <c r="AT38" s="348"/>
      <c r="AU38" s="333" t="str">
        <f t="shared" si="4"/>
        <v>0</v>
      </c>
      <c r="AV38" s="55"/>
      <c r="AW38" s="333" t="str">
        <f t="shared" si="5"/>
        <v>0</v>
      </c>
      <c r="AX38" s="81" t="str">
        <f t="shared" si="21"/>
        <v/>
      </c>
      <c r="AY38" s="81" t="str">
        <f t="shared" si="22"/>
        <v/>
      </c>
      <c r="AZ38" s="82"/>
      <c r="BA38" s="81" t="str">
        <f t="shared" si="23"/>
        <v/>
      </c>
      <c r="BB38" s="81" t="str">
        <f>IFERROR(VLOOKUP((CONCATENATE(AY38,BA38)),Listados!$U$3:$V$11,2,FALSE),"")</f>
        <v/>
      </c>
      <c r="BC38" s="81" t="str">
        <f t="shared" si="24"/>
        <v/>
      </c>
      <c r="BD38" s="567"/>
      <c r="BE38" s="567"/>
      <c r="BF38" s="567"/>
      <c r="BG38" s="567"/>
      <c r="BH38" s="582"/>
      <c r="BI38" s="582"/>
      <c r="BJ38" s="582"/>
      <c r="BK38" s="582"/>
      <c r="BL38" s="336"/>
      <c r="BM38" s="336"/>
      <c r="BN38" s="339"/>
      <c r="BO38" s="339"/>
      <c r="BP38" s="336"/>
      <c r="BQ38" s="336"/>
      <c r="BR38" s="790"/>
      <c r="BS38" s="790"/>
      <c r="BT38" s="779"/>
      <c r="BU38" s="848"/>
      <c r="BV38" s="779"/>
      <c r="BW38" s="651"/>
    </row>
    <row r="39" spans="1:75" ht="39" thickBot="1">
      <c r="A39" s="916"/>
      <c r="B39" s="581"/>
      <c r="C39" s="771"/>
      <c r="D39" s="923"/>
      <c r="E39" s="273" t="s">
        <v>994</v>
      </c>
      <c r="F39" s="290" t="s">
        <v>155</v>
      </c>
      <c r="G39" s="291" t="s">
        <v>995</v>
      </c>
      <c r="H39" s="581"/>
      <c r="I39" s="581"/>
      <c r="J39" s="581"/>
      <c r="K39" s="581"/>
      <c r="L39" s="581"/>
      <c r="M39" s="581"/>
      <c r="N39" s="581"/>
      <c r="O39" s="581"/>
      <c r="P39" s="581"/>
      <c r="Q39" s="581"/>
      <c r="R39" s="581"/>
      <c r="S39" s="581"/>
      <c r="T39" s="581"/>
      <c r="U39" s="581"/>
      <c r="V39" s="581"/>
      <c r="W39" s="581"/>
      <c r="X39" s="581"/>
      <c r="Y39" s="581"/>
      <c r="Z39" s="581"/>
      <c r="AA39" s="583"/>
      <c r="AB39" s="587"/>
      <c r="AC39" s="570"/>
      <c r="AD39" s="570"/>
      <c r="AE39" s="570"/>
      <c r="AF39" s="570"/>
      <c r="AG39" s="280"/>
      <c r="AH39" s="289"/>
      <c r="AI39" s="269"/>
      <c r="AJ39" s="269"/>
      <c r="AK39" s="261" t="str">
        <f t="shared" si="0"/>
        <v>0</v>
      </c>
      <c r="AL39" s="269"/>
      <c r="AM39" s="261" t="str">
        <f t="shared" si="1"/>
        <v>0</v>
      </c>
      <c r="AN39" s="260"/>
      <c r="AO39" s="261" t="str">
        <f t="shared" si="6"/>
        <v>0</v>
      </c>
      <c r="AP39" s="269"/>
      <c r="AQ39" s="261" t="str">
        <f t="shared" si="2"/>
        <v>0</v>
      </c>
      <c r="AR39" s="269"/>
      <c r="AS39" s="261" t="str">
        <f t="shared" si="3"/>
        <v>0</v>
      </c>
      <c r="AT39" s="269"/>
      <c r="AU39" s="261" t="str">
        <f t="shared" si="4"/>
        <v>0</v>
      </c>
      <c r="AV39" s="126"/>
      <c r="AW39" s="261" t="str">
        <f t="shared" si="5"/>
        <v>0</v>
      </c>
      <c r="AX39" s="132" t="str">
        <f t="shared" si="21"/>
        <v/>
      </c>
      <c r="AY39" s="132" t="str">
        <f t="shared" si="22"/>
        <v/>
      </c>
      <c r="AZ39" s="140"/>
      <c r="BA39" s="132" t="str">
        <f t="shared" si="23"/>
        <v/>
      </c>
      <c r="BB39" s="132" t="str">
        <f>IFERROR(VLOOKUP((CONCATENATE(AY39,BA39)),Listados!$U$3:$V$11,2,FALSE),"")</f>
        <v/>
      </c>
      <c r="BC39" s="132" t="str">
        <f t="shared" si="24"/>
        <v/>
      </c>
      <c r="BD39" s="568"/>
      <c r="BE39" s="568"/>
      <c r="BF39" s="568"/>
      <c r="BG39" s="568"/>
      <c r="BH39" s="583"/>
      <c r="BI39" s="583"/>
      <c r="BJ39" s="583"/>
      <c r="BK39" s="583"/>
      <c r="BL39" s="249"/>
      <c r="BM39" s="249"/>
      <c r="BN39" s="250"/>
      <c r="BO39" s="250"/>
      <c r="BP39" s="249"/>
      <c r="BQ39" s="249"/>
      <c r="BR39" s="791"/>
      <c r="BS39" s="791"/>
      <c r="BT39" s="847"/>
      <c r="BU39" s="934"/>
      <c r="BV39" s="847"/>
      <c r="BW39" s="652"/>
    </row>
    <row r="40" spans="1:75" ht="344.25">
      <c r="A40" s="914">
        <v>9</v>
      </c>
      <c r="B40" s="571" t="s">
        <v>275</v>
      </c>
      <c r="C40" s="647" t="s">
        <v>996</v>
      </c>
      <c r="D40" s="883" t="s">
        <v>997</v>
      </c>
      <c r="E40" s="113" t="s">
        <v>998</v>
      </c>
      <c r="F40" s="138" t="s">
        <v>67</v>
      </c>
      <c r="G40" s="883" t="s">
        <v>999</v>
      </c>
      <c r="H40" s="571" t="s">
        <v>73</v>
      </c>
      <c r="I40" s="571" t="s">
        <v>73</v>
      </c>
      <c r="J40" s="571" t="s">
        <v>869</v>
      </c>
      <c r="K40" s="571" t="s">
        <v>869</v>
      </c>
      <c r="L40" s="571" t="s">
        <v>73</v>
      </c>
      <c r="M40" s="571" t="s">
        <v>73</v>
      </c>
      <c r="N40" s="571" t="s">
        <v>869</v>
      </c>
      <c r="O40" s="571" t="s">
        <v>869</v>
      </c>
      <c r="P40" s="571" t="s">
        <v>73</v>
      </c>
      <c r="Q40" s="571" t="s">
        <v>73</v>
      </c>
      <c r="R40" s="571" t="s">
        <v>73</v>
      </c>
      <c r="S40" s="571" t="s">
        <v>73</v>
      </c>
      <c r="T40" s="571" t="s">
        <v>869</v>
      </c>
      <c r="U40" s="571" t="s">
        <v>73</v>
      </c>
      <c r="V40" s="571" t="s">
        <v>73</v>
      </c>
      <c r="W40" s="571" t="s">
        <v>869</v>
      </c>
      <c r="X40" s="571" t="s">
        <v>869</v>
      </c>
      <c r="Y40" s="571" t="s">
        <v>869</v>
      </c>
      <c r="Z40" s="571" t="s">
        <v>869</v>
      </c>
      <c r="AA40" s="632">
        <f>COUNTIF(H40:Z40, "SI")</f>
        <v>10</v>
      </c>
      <c r="AB40" s="585" t="s">
        <v>412</v>
      </c>
      <c r="AC40" s="569">
        <f>+VLOOKUP(AB40,Listados!$K$8:$L$12,2,0)</f>
        <v>1</v>
      </c>
      <c r="AD40" s="569" t="str">
        <f>++IF(OR(AA40=0),"",IF(OR(AA40=1,AA40&lt;=5),"Moderado",IF(OR(AA40=6,AA40&lt;=11),"Mayor",IF(OR(AA40&gt;=12),"Catastrófico",""))))</f>
        <v>Mayor</v>
      </c>
      <c r="AE40" s="569">
        <f>+VLOOKUP(AD40,Listados!$K$13:$L$17,2,0)</f>
        <v>4</v>
      </c>
      <c r="AF40" s="569" t="str">
        <f>IF(AND(AB40&lt;&gt;"",AD40&lt;&gt;""),VLOOKUP(AB40&amp;AD40,[3]Listados!$M$3:$N$27,2,FALSE),"")</f>
        <v>Alto</v>
      </c>
      <c r="AG40" s="116" t="s">
        <v>1000</v>
      </c>
      <c r="AH40" s="139" t="s">
        <v>998</v>
      </c>
      <c r="AI40" s="115" t="s">
        <v>83</v>
      </c>
      <c r="AJ40" s="94" t="s">
        <v>73</v>
      </c>
      <c r="AK40" s="93">
        <f>+IF(AJ40="si",15,"0")</f>
        <v>15</v>
      </c>
      <c r="AL40" s="94" t="s">
        <v>73</v>
      </c>
      <c r="AM40" s="93">
        <f>+IF(AL40="si",15,"0")</f>
        <v>15</v>
      </c>
      <c r="AN40" s="94" t="s">
        <v>73</v>
      </c>
      <c r="AO40" s="93">
        <f>+IF(AN40="si",15,"0")</f>
        <v>15</v>
      </c>
      <c r="AP40" s="94" t="s">
        <v>72</v>
      </c>
      <c r="AQ40" s="93">
        <f>+IF(AP40="Preventivo",15,IF(AP40="Detectivo",10,"0"))</f>
        <v>15</v>
      </c>
      <c r="AR40" s="94" t="s">
        <v>73</v>
      </c>
      <c r="AS40" s="93">
        <f>+IF(AR40="si",15,"0")</f>
        <v>15</v>
      </c>
      <c r="AT40" s="94" t="s">
        <v>73</v>
      </c>
      <c r="AU40" s="93">
        <f>+IF(AT40="si",15,"0")</f>
        <v>15</v>
      </c>
      <c r="AV40" s="94" t="s">
        <v>74</v>
      </c>
      <c r="AW40" s="93">
        <f>+IF(AV40="Completa",10,IF(AV40="Incompleta",5,"0"))</f>
        <v>10</v>
      </c>
      <c r="AX40" s="119">
        <f t="shared" si="21"/>
        <v>100</v>
      </c>
      <c r="AY40" s="119" t="str">
        <f t="shared" si="22"/>
        <v>Fuerte</v>
      </c>
      <c r="AZ40" s="118" t="s">
        <v>75</v>
      </c>
      <c r="BA40" s="119" t="str">
        <f t="shared" si="23"/>
        <v>Fuerte</v>
      </c>
      <c r="BB40" s="119" t="str">
        <f>IFERROR(VLOOKUP((CONCATENATE(AY40,BA40)),Listados!$U$3:$V$11,2,FALSE),"")</f>
        <v>Fuerte</v>
      </c>
      <c r="BC40" s="119">
        <f t="shared" si="24"/>
        <v>100</v>
      </c>
      <c r="BD40" s="566">
        <f>AVERAGE(BC40:BC43)</f>
        <v>75</v>
      </c>
      <c r="BE40" s="566" t="str">
        <f>IF(BD40&lt;=50,"Débil",IF(BD40&lt;=99,"Moderado",IF(BD40=100,"fuerte","")))</f>
        <v>Moderado</v>
      </c>
      <c r="BF40" s="566">
        <f>+IF(AND(AI40="Preventivo",BE40="Fuerte"),2,IF(AND(AI40="Preventivo",BE40="Moderado"),1,0))</f>
        <v>0</v>
      </c>
      <c r="BG40" s="566">
        <f>+AC40-BF40</f>
        <v>1</v>
      </c>
      <c r="BH40" s="632" t="str">
        <f>+VLOOKUP(MIN(BG40),Listados!$J$18:$K$24,2,TRUE)</f>
        <v>Rara Vez</v>
      </c>
      <c r="BI40" s="632" t="str">
        <f>AD40</f>
        <v>Mayor</v>
      </c>
      <c r="BJ40" s="632" t="str">
        <f>IF(AND(BH40&lt;&gt;"",BI40&lt;&gt;""),VLOOKUP(BH40&amp;BI40,Listados!$M$3:$N$27,2,FALSE),"")</f>
        <v>Alto</v>
      </c>
      <c r="BK40" s="632" t="str">
        <f>+VLOOKUP(BJ40,Listados!$P$3:$Q$6,2,FALSE)</f>
        <v>Reducir el riesgo</v>
      </c>
      <c r="BL40" s="120" t="s">
        <v>1001</v>
      </c>
      <c r="BM40" s="94" t="s">
        <v>493</v>
      </c>
      <c r="BN40" s="160">
        <v>45292</v>
      </c>
      <c r="BO40" s="160">
        <v>45657</v>
      </c>
      <c r="BP40" s="94" t="s">
        <v>1002</v>
      </c>
      <c r="BQ40" s="145" t="s">
        <v>1003</v>
      </c>
      <c r="BR40" s="170" t="s">
        <v>1004</v>
      </c>
      <c r="BS40" s="789"/>
      <c r="BT40" s="846"/>
      <c r="BU40" s="933"/>
      <c r="BV40" s="846"/>
      <c r="BW40" s="650"/>
    </row>
    <row r="41" spans="1:75" ht="280.5">
      <c r="A41" s="915"/>
      <c r="B41" s="580"/>
      <c r="C41" s="770"/>
      <c r="D41" s="884"/>
      <c r="E41" s="363" t="s">
        <v>1005</v>
      </c>
      <c r="F41" s="371" t="s">
        <v>67</v>
      </c>
      <c r="G41" s="884"/>
      <c r="H41" s="580" t="s">
        <v>73</v>
      </c>
      <c r="I41" s="580" t="s">
        <v>73</v>
      </c>
      <c r="J41" s="580" t="s">
        <v>869</v>
      </c>
      <c r="K41" s="580" t="s">
        <v>869</v>
      </c>
      <c r="L41" s="580" t="s">
        <v>73</v>
      </c>
      <c r="M41" s="580" t="s">
        <v>73</v>
      </c>
      <c r="N41" s="580" t="s">
        <v>869</v>
      </c>
      <c r="O41" s="580" t="s">
        <v>869</v>
      </c>
      <c r="P41" s="580" t="s">
        <v>73</v>
      </c>
      <c r="Q41" s="580" t="s">
        <v>73</v>
      </c>
      <c r="R41" s="580" t="s">
        <v>73</v>
      </c>
      <c r="S41" s="580" t="s">
        <v>73</v>
      </c>
      <c r="T41" s="580" t="s">
        <v>869</v>
      </c>
      <c r="U41" s="580" t="s">
        <v>73</v>
      </c>
      <c r="V41" s="580" t="s">
        <v>73</v>
      </c>
      <c r="W41" s="580" t="s">
        <v>869</v>
      </c>
      <c r="X41" s="580" t="s">
        <v>869</v>
      </c>
      <c r="Y41" s="580" t="s">
        <v>869</v>
      </c>
      <c r="Z41" s="580" t="s">
        <v>869</v>
      </c>
      <c r="AA41" s="582"/>
      <c r="AB41" s="573"/>
      <c r="AC41" s="565"/>
      <c r="AD41" s="565"/>
      <c r="AE41" s="565"/>
      <c r="AF41" s="565"/>
      <c r="AG41" s="374" t="s">
        <v>1006</v>
      </c>
      <c r="AH41" s="134" t="s">
        <v>1005</v>
      </c>
      <c r="AI41" s="348" t="s">
        <v>83</v>
      </c>
      <c r="AJ41" s="332" t="s">
        <v>73</v>
      </c>
      <c r="AK41" s="333">
        <f t="shared" si="0"/>
        <v>15</v>
      </c>
      <c r="AL41" s="332" t="s">
        <v>73</v>
      </c>
      <c r="AM41" s="333">
        <f t="shared" si="1"/>
        <v>15</v>
      </c>
      <c r="AN41" s="44" t="s">
        <v>73</v>
      </c>
      <c r="AO41" s="333">
        <f t="shared" si="6"/>
        <v>15</v>
      </c>
      <c r="AP41" s="332" t="s">
        <v>83</v>
      </c>
      <c r="AQ41" s="333">
        <f t="shared" si="2"/>
        <v>10</v>
      </c>
      <c r="AR41" s="332" t="s">
        <v>73</v>
      </c>
      <c r="AS41" s="333">
        <f t="shared" si="3"/>
        <v>15</v>
      </c>
      <c r="AT41" s="332" t="s">
        <v>73</v>
      </c>
      <c r="AU41" s="333">
        <f t="shared" si="4"/>
        <v>15</v>
      </c>
      <c r="AV41" s="44" t="s">
        <v>74</v>
      </c>
      <c r="AW41" s="333">
        <f t="shared" si="5"/>
        <v>10</v>
      </c>
      <c r="AX41" s="81">
        <f t="shared" si="21"/>
        <v>95</v>
      </c>
      <c r="AY41" s="81" t="str">
        <f t="shared" si="22"/>
        <v>Moderado</v>
      </c>
      <c r="AZ41" s="82" t="s">
        <v>75</v>
      </c>
      <c r="BA41" s="81" t="str">
        <f t="shared" si="23"/>
        <v>Fuerte</v>
      </c>
      <c r="BB41" s="81" t="str">
        <f>IFERROR(VLOOKUP((CONCATENATE(AY41,BA41)),Listados!$U$3:$V$11,2,FALSE),"")</f>
        <v>Moderado</v>
      </c>
      <c r="BC41" s="81">
        <f t="shared" si="24"/>
        <v>50</v>
      </c>
      <c r="BD41" s="567"/>
      <c r="BE41" s="567"/>
      <c r="BF41" s="567"/>
      <c r="BG41" s="567"/>
      <c r="BH41" s="582"/>
      <c r="BI41" s="582"/>
      <c r="BJ41" s="582"/>
      <c r="BK41" s="582"/>
      <c r="BL41" s="343" t="s">
        <v>1007</v>
      </c>
      <c r="BM41" s="332" t="s">
        <v>493</v>
      </c>
      <c r="BN41" s="389">
        <v>45292</v>
      </c>
      <c r="BO41" s="389">
        <v>45657</v>
      </c>
      <c r="BP41" s="332" t="s">
        <v>1002</v>
      </c>
      <c r="BQ41" s="346" t="s">
        <v>1008</v>
      </c>
      <c r="BR41" s="390" t="s">
        <v>1009</v>
      </c>
      <c r="BS41" s="790"/>
      <c r="BT41" s="779"/>
      <c r="BU41" s="848"/>
      <c r="BV41" s="779"/>
      <c r="BW41" s="651"/>
    </row>
    <row r="42" spans="1:75">
      <c r="A42" s="915"/>
      <c r="B42" s="580"/>
      <c r="C42" s="770"/>
      <c r="D42" s="884"/>
      <c r="E42" s="363"/>
      <c r="F42" s="371"/>
      <c r="G42" s="884"/>
      <c r="H42" s="580" t="s">
        <v>73</v>
      </c>
      <c r="I42" s="580" t="s">
        <v>73</v>
      </c>
      <c r="J42" s="580" t="s">
        <v>869</v>
      </c>
      <c r="K42" s="580" t="s">
        <v>869</v>
      </c>
      <c r="L42" s="580" t="s">
        <v>73</v>
      </c>
      <c r="M42" s="580" t="s">
        <v>73</v>
      </c>
      <c r="N42" s="580" t="s">
        <v>869</v>
      </c>
      <c r="O42" s="580" t="s">
        <v>869</v>
      </c>
      <c r="P42" s="580" t="s">
        <v>73</v>
      </c>
      <c r="Q42" s="580" t="s">
        <v>73</v>
      </c>
      <c r="R42" s="580" t="s">
        <v>73</v>
      </c>
      <c r="S42" s="580" t="s">
        <v>73</v>
      </c>
      <c r="T42" s="580" t="s">
        <v>869</v>
      </c>
      <c r="U42" s="580" t="s">
        <v>73</v>
      </c>
      <c r="V42" s="580" t="s">
        <v>73</v>
      </c>
      <c r="W42" s="580" t="s">
        <v>869</v>
      </c>
      <c r="X42" s="580" t="s">
        <v>869</v>
      </c>
      <c r="Y42" s="580" t="s">
        <v>869</v>
      </c>
      <c r="Z42" s="580" t="s">
        <v>869</v>
      </c>
      <c r="AA42" s="582"/>
      <c r="AB42" s="573"/>
      <c r="AC42" s="565"/>
      <c r="AD42" s="565"/>
      <c r="AE42" s="565"/>
      <c r="AF42" s="565"/>
      <c r="AG42" s="374"/>
      <c r="AH42" s="80"/>
      <c r="AI42" s="348"/>
      <c r="AJ42" s="348"/>
      <c r="AK42" s="333" t="str">
        <f t="shared" si="0"/>
        <v>0</v>
      </c>
      <c r="AL42" s="348"/>
      <c r="AM42" s="333" t="str">
        <f t="shared" si="1"/>
        <v>0</v>
      </c>
      <c r="AN42" s="55"/>
      <c r="AO42" s="333" t="str">
        <f t="shared" si="6"/>
        <v>0</v>
      </c>
      <c r="AP42" s="348"/>
      <c r="AQ42" s="333" t="str">
        <f t="shared" si="2"/>
        <v>0</v>
      </c>
      <c r="AR42" s="348"/>
      <c r="AS42" s="333" t="str">
        <f t="shared" si="3"/>
        <v>0</v>
      </c>
      <c r="AT42" s="348"/>
      <c r="AU42" s="333" t="str">
        <f t="shared" si="4"/>
        <v>0</v>
      </c>
      <c r="AV42" s="55"/>
      <c r="AW42" s="333" t="str">
        <f t="shared" si="5"/>
        <v>0</v>
      </c>
      <c r="AX42" s="81" t="str">
        <f t="shared" si="21"/>
        <v/>
      </c>
      <c r="AY42" s="81" t="str">
        <f t="shared" si="22"/>
        <v/>
      </c>
      <c r="AZ42" s="82"/>
      <c r="BA42" s="81" t="str">
        <f t="shared" si="23"/>
        <v/>
      </c>
      <c r="BB42" s="81" t="str">
        <f>IFERROR(VLOOKUP((CONCATENATE(AY42,BA42)),Listados!$U$3:$V$11,2,FALSE),"")</f>
        <v/>
      </c>
      <c r="BC42" s="81" t="str">
        <f t="shared" si="24"/>
        <v/>
      </c>
      <c r="BD42" s="567"/>
      <c r="BE42" s="567"/>
      <c r="BF42" s="567"/>
      <c r="BG42" s="567"/>
      <c r="BH42" s="582"/>
      <c r="BI42" s="582"/>
      <c r="BJ42" s="582"/>
      <c r="BK42" s="582"/>
      <c r="BL42" s="336"/>
      <c r="BM42" s="336"/>
      <c r="BN42" s="339"/>
      <c r="BO42" s="339"/>
      <c r="BP42" s="336"/>
      <c r="BQ42" s="336"/>
      <c r="BR42" s="336"/>
      <c r="BS42" s="790"/>
      <c r="BT42" s="779"/>
      <c r="BU42" s="848"/>
      <c r="BV42" s="779"/>
      <c r="BW42" s="651"/>
    </row>
    <row r="43" spans="1:75" ht="15.75" thickBot="1">
      <c r="A43" s="916"/>
      <c r="B43" s="581"/>
      <c r="C43" s="771"/>
      <c r="D43" s="923"/>
      <c r="E43" s="273"/>
      <c r="F43" s="290"/>
      <c r="G43" s="923"/>
      <c r="H43" s="581" t="s">
        <v>73</v>
      </c>
      <c r="I43" s="581" t="s">
        <v>73</v>
      </c>
      <c r="J43" s="581" t="s">
        <v>869</v>
      </c>
      <c r="K43" s="581" t="s">
        <v>869</v>
      </c>
      <c r="L43" s="581" t="s">
        <v>73</v>
      </c>
      <c r="M43" s="581" t="s">
        <v>73</v>
      </c>
      <c r="N43" s="581" t="s">
        <v>869</v>
      </c>
      <c r="O43" s="581" t="s">
        <v>869</v>
      </c>
      <c r="P43" s="581" t="s">
        <v>73</v>
      </c>
      <c r="Q43" s="581" t="s">
        <v>73</v>
      </c>
      <c r="R43" s="581" t="s">
        <v>73</v>
      </c>
      <c r="S43" s="581" t="s">
        <v>73</v>
      </c>
      <c r="T43" s="581" t="s">
        <v>869</v>
      </c>
      <c r="U43" s="581" t="s">
        <v>73</v>
      </c>
      <c r="V43" s="581" t="s">
        <v>73</v>
      </c>
      <c r="W43" s="581" t="s">
        <v>869</v>
      </c>
      <c r="X43" s="581" t="s">
        <v>869</v>
      </c>
      <c r="Y43" s="581" t="s">
        <v>869</v>
      </c>
      <c r="Z43" s="581" t="s">
        <v>869</v>
      </c>
      <c r="AA43" s="583"/>
      <c r="AB43" s="587"/>
      <c r="AC43" s="570"/>
      <c r="AD43" s="570"/>
      <c r="AE43" s="570"/>
      <c r="AF43" s="570"/>
      <c r="AG43" s="288"/>
      <c r="AH43" s="125"/>
      <c r="AI43" s="269"/>
      <c r="AJ43" s="269"/>
      <c r="AK43" s="261" t="str">
        <f t="shared" si="0"/>
        <v>0</v>
      </c>
      <c r="AL43" s="269"/>
      <c r="AM43" s="261" t="str">
        <f t="shared" si="1"/>
        <v>0</v>
      </c>
      <c r="AN43" s="126"/>
      <c r="AO43" s="261" t="str">
        <f t="shared" si="6"/>
        <v>0</v>
      </c>
      <c r="AP43" s="269"/>
      <c r="AQ43" s="261" t="str">
        <f t="shared" si="2"/>
        <v>0</v>
      </c>
      <c r="AR43" s="269"/>
      <c r="AS43" s="261" t="str">
        <f t="shared" si="3"/>
        <v>0</v>
      </c>
      <c r="AT43" s="269"/>
      <c r="AU43" s="261" t="str">
        <f t="shared" si="4"/>
        <v>0</v>
      </c>
      <c r="AV43" s="126"/>
      <c r="AW43" s="261" t="str">
        <f t="shared" si="5"/>
        <v>0</v>
      </c>
      <c r="AX43" s="132" t="str">
        <f t="shared" si="21"/>
        <v/>
      </c>
      <c r="AY43" s="132" t="str">
        <f t="shared" si="22"/>
        <v/>
      </c>
      <c r="AZ43" s="140"/>
      <c r="BA43" s="132" t="str">
        <f t="shared" si="23"/>
        <v/>
      </c>
      <c r="BB43" s="132" t="str">
        <f>IFERROR(VLOOKUP((CONCATENATE(AY43,BA43)),Listados!$U$3:$V$11,2,FALSE),"")</f>
        <v/>
      </c>
      <c r="BC43" s="132" t="str">
        <f t="shared" si="24"/>
        <v/>
      </c>
      <c r="BD43" s="568"/>
      <c r="BE43" s="568"/>
      <c r="BF43" s="568"/>
      <c r="BG43" s="568"/>
      <c r="BH43" s="583"/>
      <c r="BI43" s="583"/>
      <c r="BJ43" s="583"/>
      <c r="BK43" s="583"/>
      <c r="BL43" s="249"/>
      <c r="BM43" s="249"/>
      <c r="BN43" s="250"/>
      <c r="BO43" s="250"/>
      <c r="BP43" s="249"/>
      <c r="BQ43" s="249"/>
      <c r="BR43" s="169"/>
      <c r="BS43" s="791"/>
      <c r="BT43" s="847"/>
      <c r="BU43" s="934"/>
      <c r="BV43" s="847"/>
      <c r="BW43" s="652"/>
    </row>
    <row r="44" spans="1:75" ht="210">
      <c r="A44" s="914">
        <v>10</v>
      </c>
      <c r="B44" s="571" t="s">
        <v>275</v>
      </c>
      <c r="C44" s="647" t="s">
        <v>996</v>
      </c>
      <c r="D44" s="924" t="s">
        <v>1010</v>
      </c>
      <c r="E44" s="113" t="s">
        <v>1005</v>
      </c>
      <c r="F44" s="138" t="s">
        <v>67</v>
      </c>
      <c r="G44" s="883" t="s">
        <v>1011</v>
      </c>
      <c r="H44" s="571" t="s">
        <v>73</v>
      </c>
      <c r="I44" s="571" t="s">
        <v>73</v>
      </c>
      <c r="J44" s="571" t="s">
        <v>73</v>
      </c>
      <c r="K44" s="571" t="s">
        <v>73</v>
      </c>
      <c r="L44" s="571" t="s">
        <v>73</v>
      </c>
      <c r="M44" s="571" t="s">
        <v>869</v>
      </c>
      <c r="N44" s="571" t="s">
        <v>73</v>
      </c>
      <c r="O44" s="571" t="s">
        <v>869</v>
      </c>
      <c r="P44" s="571" t="s">
        <v>73</v>
      </c>
      <c r="Q44" s="571" t="s">
        <v>73</v>
      </c>
      <c r="R44" s="571" t="s">
        <v>73</v>
      </c>
      <c r="S44" s="571" t="s">
        <v>73</v>
      </c>
      <c r="T44" s="571" t="s">
        <v>73</v>
      </c>
      <c r="U44" s="571" t="s">
        <v>73</v>
      </c>
      <c r="V44" s="571" t="s">
        <v>73</v>
      </c>
      <c r="W44" s="571" t="s">
        <v>869</v>
      </c>
      <c r="X44" s="571" t="s">
        <v>869</v>
      </c>
      <c r="Y44" s="571" t="s">
        <v>73</v>
      </c>
      <c r="Z44" s="571" t="s">
        <v>869</v>
      </c>
      <c r="AA44" s="632">
        <f>COUNTIF(H44:Z44, "SI")</f>
        <v>14</v>
      </c>
      <c r="AB44" s="585" t="s">
        <v>412</v>
      </c>
      <c r="AC44" s="569">
        <f>+VLOOKUP(AB44,Listados!$K$8:$L$12,2,0)</f>
        <v>1</v>
      </c>
      <c r="AD44" s="569" t="str">
        <f>++IF(OR(AA44=0),"",IF(OR(AA44=1,AA44&lt;=5),"Moderado",IF(OR(AA44=6,AA44&lt;=11),"Mayor",IF(OR(AA44&gt;=12),"Catastrófico",""))))</f>
        <v>Catastrófico</v>
      </c>
      <c r="AE44" s="569">
        <f>+VLOOKUP(AD44,Listados!$K$13:$L$17,2,0)</f>
        <v>5</v>
      </c>
      <c r="AF44" s="569" t="str">
        <f>IF(AND(AB44&lt;&gt;"",AD44&lt;&gt;""),VLOOKUP(AB44&amp;AD44,[3]Listados!$M$3:$N$27,2,FALSE),"")</f>
        <v>Extremo</v>
      </c>
      <c r="AG44" s="116" t="s">
        <v>1012</v>
      </c>
      <c r="AH44" s="117" t="s">
        <v>1005</v>
      </c>
      <c r="AI44" s="115" t="s">
        <v>83</v>
      </c>
      <c r="AJ44" s="94" t="s">
        <v>73</v>
      </c>
      <c r="AK44" s="93">
        <f>+IF(AJ44="si",15,"0")</f>
        <v>15</v>
      </c>
      <c r="AL44" s="94" t="s">
        <v>73</v>
      </c>
      <c r="AM44" s="93">
        <f>+IF(AL44="si",15,"0")</f>
        <v>15</v>
      </c>
      <c r="AN44" s="94" t="s">
        <v>73</v>
      </c>
      <c r="AO44" s="93">
        <f>+IF(AN44="si",15,"0")</f>
        <v>15</v>
      </c>
      <c r="AP44" s="115" t="s">
        <v>83</v>
      </c>
      <c r="AQ44" s="93">
        <f>+IF(AP44="Preventivo",15,IF(AP44="Detectivo",10,"0"))</f>
        <v>10</v>
      </c>
      <c r="AR44" s="94" t="s">
        <v>73</v>
      </c>
      <c r="AS44" s="93">
        <f>+IF(AR44="si",15,"0")</f>
        <v>15</v>
      </c>
      <c r="AT44" s="94" t="s">
        <v>73</v>
      </c>
      <c r="AU44" s="93">
        <f>+IF(AT44="si",15,"0")</f>
        <v>15</v>
      </c>
      <c r="AV44" s="94" t="s">
        <v>74</v>
      </c>
      <c r="AW44" s="93">
        <f>+IF(AV44="Completa",10,IF(AV44="Incompleta",5,"0"))</f>
        <v>10</v>
      </c>
      <c r="AX44" s="119">
        <f t="shared" si="21"/>
        <v>95</v>
      </c>
      <c r="AY44" s="119" t="str">
        <f t="shared" si="22"/>
        <v>Moderado</v>
      </c>
      <c r="AZ44" s="118" t="s">
        <v>75</v>
      </c>
      <c r="BA44" s="119" t="str">
        <f t="shared" si="23"/>
        <v>Fuerte</v>
      </c>
      <c r="BB44" s="119" t="str">
        <f>IFERROR(VLOOKUP((CONCATENATE(AY44,BA44)),Listados!$U$3:$V$11,2,FALSE),"")</f>
        <v>Moderado</v>
      </c>
      <c r="BC44" s="119">
        <f t="shared" si="24"/>
        <v>50</v>
      </c>
      <c r="BD44" s="566">
        <f>AVERAGE(BC44:BC47)</f>
        <v>50</v>
      </c>
      <c r="BE44" s="566" t="str">
        <f>IF(BD44&lt;=50,"Débil",IF(BD44&lt;=99,"Moderado",IF(BD44=100,"fuerte","")))</f>
        <v>Débil</v>
      </c>
      <c r="BF44" s="566">
        <f>+IF(AND(AI44="Preventivo",BE44="Fuerte"),2,IF(AND(AI44="Preventivo",BE44="Moderado"),1,0))</f>
        <v>0</v>
      </c>
      <c r="BG44" s="566">
        <f>+AC44-BF44</f>
        <v>1</v>
      </c>
      <c r="BH44" s="632" t="str">
        <f>+VLOOKUP(MIN(BG44),Listados!$J$18:$K$24,2,TRUE)</f>
        <v>Rara Vez</v>
      </c>
      <c r="BI44" s="632" t="str">
        <f>AD44</f>
        <v>Catastrófico</v>
      </c>
      <c r="BJ44" s="632" t="str">
        <f>IF(AND(BH44&lt;&gt;"",BI44&lt;&gt;""),VLOOKUP(BH44&amp;BI44,Listados!$M$3:$N$27,2,FALSE),"")</f>
        <v>Extremo</v>
      </c>
      <c r="BK44" s="632" t="str">
        <f>+VLOOKUP(BJ44,Listados!$P$3:$Q$6,2,FALSE)</f>
        <v>Reducir el riesgo</v>
      </c>
      <c r="BL44" s="161" t="s">
        <v>1013</v>
      </c>
      <c r="BM44" s="147" t="s">
        <v>493</v>
      </c>
      <c r="BN44" s="171">
        <v>45292</v>
      </c>
      <c r="BO44" s="171">
        <v>45657</v>
      </c>
      <c r="BP44" s="147" t="s">
        <v>1002</v>
      </c>
      <c r="BQ44" s="162" t="s">
        <v>1014</v>
      </c>
      <c r="BR44" s="170" t="s">
        <v>1015</v>
      </c>
      <c r="BS44" s="789"/>
      <c r="BT44" s="846"/>
      <c r="BU44" s="933"/>
      <c r="BV44" s="846"/>
      <c r="BW44" s="650"/>
    </row>
    <row r="45" spans="1:75" ht="321.75" customHeight="1">
      <c r="A45" s="915"/>
      <c r="B45" s="580"/>
      <c r="C45" s="770"/>
      <c r="D45" s="925"/>
      <c r="E45" s="363" t="s">
        <v>1016</v>
      </c>
      <c r="F45" s="371" t="s">
        <v>67</v>
      </c>
      <c r="G45" s="884"/>
      <c r="H45" s="580" t="s">
        <v>73</v>
      </c>
      <c r="I45" s="580" t="s">
        <v>73</v>
      </c>
      <c r="J45" s="580" t="s">
        <v>73</v>
      </c>
      <c r="K45" s="580" t="s">
        <v>73</v>
      </c>
      <c r="L45" s="580" t="s">
        <v>73</v>
      </c>
      <c r="M45" s="580" t="s">
        <v>869</v>
      </c>
      <c r="N45" s="580" t="s">
        <v>73</v>
      </c>
      <c r="O45" s="580" t="s">
        <v>869</v>
      </c>
      <c r="P45" s="580" t="s">
        <v>73</v>
      </c>
      <c r="Q45" s="580" t="s">
        <v>73</v>
      </c>
      <c r="R45" s="580" t="s">
        <v>73</v>
      </c>
      <c r="S45" s="580" t="s">
        <v>73</v>
      </c>
      <c r="T45" s="580" t="s">
        <v>73</v>
      </c>
      <c r="U45" s="580" t="s">
        <v>73</v>
      </c>
      <c r="V45" s="580" t="s">
        <v>73</v>
      </c>
      <c r="W45" s="580" t="s">
        <v>869</v>
      </c>
      <c r="X45" s="580" t="s">
        <v>869</v>
      </c>
      <c r="Y45" s="580" t="s">
        <v>73</v>
      </c>
      <c r="Z45" s="580" t="s">
        <v>869</v>
      </c>
      <c r="AA45" s="582"/>
      <c r="AB45" s="573"/>
      <c r="AC45" s="565"/>
      <c r="AD45" s="565"/>
      <c r="AE45" s="565"/>
      <c r="AF45" s="565"/>
      <c r="AG45" s="374" t="s">
        <v>1017</v>
      </c>
      <c r="AH45" s="386" t="s">
        <v>1016</v>
      </c>
      <c r="AI45" s="348" t="s">
        <v>83</v>
      </c>
      <c r="AJ45" s="332" t="s">
        <v>73</v>
      </c>
      <c r="AK45" s="333">
        <f t="shared" si="0"/>
        <v>15</v>
      </c>
      <c r="AL45" s="332" t="s">
        <v>73</v>
      </c>
      <c r="AM45" s="333">
        <f t="shared" si="1"/>
        <v>15</v>
      </c>
      <c r="AN45" s="44" t="s">
        <v>73</v>
      </c>
      <c r="AO45" s="333">
        <f t="shared" si="6"/>
        <v>15</v>
      </c>
      <c r="AP45" s="348" t="s">
        <v>83</v>
      </c>
      <c r="AQ45" s="333">
        <f t="shared" si="2"/>
        <v>10</v>
      </c>
      <c r="AR45" s="332" t="s">
        <v>73</v>
      </c>
      <c r="AS45" s="333">
        <f t="shared" si="3"/>
        <v>15</v>
      </c>
      <c r="AT45" s="332" t="s">
        <v>73</v>
      </c>
      <c r="AU45" s="333">
        <f t="shared" si="4"/>
        <v>15</v>
      </c>
      <c r="AV45" s="44" t="s">
        <v>74</v>
      </c>
      <c r="AW45" s="333">
        <f t="shared" si="5"/>
        <v>10</v>
      </c>
      <c r="AX45" s="81">
        <f t="shared" si="21"/>
        <v>95</v>
      </c>
      <c r="AY45" s="81" t="str">
        <f t="shared" si="22"/>
        <v>Moderado</v>
      </c>
      <c r="AZ45" s="82" t="s">
        <v>75</v>
      </c>
      <c r="BA45" s="81" t="str">
        <f t="shared" si="23"/>
        <v>Fuerte</v>
      </c>
      <c r="BB45" s="81" t="str">
        <f>IFERROR(VLOOKUP((CONCATENATE(AY45,BA45)),Listados!$U$3:$V$11,2,FALSE),"")</f>
        <v>Moderado</v>
      </c>
      <c r="BC45" s="81">
        <f t="shared" si="24"/>
        <v>50</v>
      </c>
      <c r="BD45" s="567"/>
      <c r="BE45" s="567"/>
      <c r="BF45" s="567"/>
      <c r="BG45" s="567"/>
      <c r="BH45" s="582"/>
      <c r="BI45" s="582"/>
      <c r="BJ45" s="582"/>
      <c r="BK45" s="582"/>
      <c r="BL45" s="370" t="s">
        <v>1018</v>
      </c>
      <c r="BM45" s="391" t="s">
        <v>493</v>
      </c>
      <c r="BN45" s="392">
        <v>45292</v>
      </c>
      <c r="BO45" s="392">
        <v>45657</v>
      </c>
      <c r="BP45" s="391" t="s">
        <v>1002</v>
      </c>
      <c r="BQ45" s="391" t="s">
        <v>1019</v>
      </c>
      <c r="BR45" s="390" t="s">
        <v>1020</v>
      </c>
      <c r="BS45" s="790"/>
      <c r="BT45" s="779"/>
      <c r="BU45" s="848"/>
      <c r="BV45" s="779"/>
      <c r="BW45" s="651"/>
    </row>
    <row r="46" spans="1:75" ht="45" customHeight="1">
      <c r="A46" s="915"/>
      <c r="B46" s="580"/>
      <c r="C46" s="770"/>
      <c r="D46" s="925"/>
      <c r="E46" s="363"/>
      <c r="F46" s="371"/>
      <c r="G46" s="884"/>
      <c r="H46" s="580" t="s">
        <v>73</v>
      </c>
      <c r="I46" s="580" t="s">
        <v>73</v>
      </c>
      <c r="J46" s="580" t="s">
        <v>73</v>
      </c>
      <c r="K46" s="580" t="s">
        <v>73</v>
      </c>
      <c r="L46" s="580" t="s">
        <v>73</v>
      </c>
      <c r="M46" s="580" t="s">
        <v>869</v>
      </c>
      <c r="N46" s="580" t="s">
        <v>73</v>
      </c>
      <c r="O46" s="580" t="s">
        <v>869</v>
      </c>
      <c r="P46" s="580" t="s">
        <v>73</v>
      </c>
      <c r="Q46" s="580" t="s">
        <v>73</v>
      </c>
      <c r="R46" s="580" t="s">
        <v>73</v>
      </c>
      <c r="S46" s="580" t="s">
        <v>73</v>
      </c>
      <c r="T46" s="580" t="s">
        <v>73</v>
      </c>
      <c r="U46" s="580" t="s">
        <v>73</v>
      </c>
      <c r="V46" s="580" t="s">
        <v>73</v>
      </c>
      <c r="W46" s="580" t="s">
        <v>869</v>
      </c>
      <c r="X46" s="580" t="s">
        <v>869</v>
      </c>
      <c r="Y46" s="580" t="s">
        <v>73</v>
      </c>
      <c r="Z46" s="580" t="s">
        <v>869</v>
      </c>
      <c r="AA46" s="582"/>
      <c r="AB46" s="573"/>
      <c r="AC46" s="565"/>
      <c r="AD46" s="565"/>
      <c r="AE46" s="565"/>
      <c r="AF46" s="565"/>
      <c r="AG46" s="374"/>
      <c r="AH46" s="386"/>
      <c r="AI46" s="348"/>
      <c r="AJ46" s="348"/>
      <c r="AK46" s="333" t="str">
        <f t="shared" si="0"/>
        <v>0</v>
      </c>
      <c r="AL46" s="348"/>
      <c r="AM46" s="333" t="str">
        <f t="shared" si="1"/>
        <v>0</v>
      </c>
      <c r="AN46" s="55"/>
      <c r="AO46" s="333" t="str">
        <f t="shared" si="6"/>
        <v>0</v>
      </c>
      <c r="AP46" s="348"/>
      <c r="AQ46" s="333" t="str">
        <f t="shared" si="2"/>
        <v>0</v>
      </c>
      <c r="AR46" s="348"/>
      <c r="AS46" s="333" t="str">
        <f t="shared" si="3"/>
        <v>0</v>
      </c>
      <c r="AT46" s="348"/>
      <c r="AU46" s="333" t="str">
        <f t="shared" si="4"/>
        <v>0</v>
      </c>
      <c r="AV46" s="55"/>
      <c r="AW46" s="333" t="str">
        <f t="shared" si="5"/>
        <v>0</v>
      </c>
      <c r="AX46" s="81" t="str">
        <f t="shared" si="21"/>
        <v/>
      </c>
      <c r="AY46" s="81" t="str">
        <f t="shared" si="22"/>
        <v/>
      </c>
      <c r="AZ46" s="82"/>
      <c r="BA46" s="81" t="str">
        <f t="shared" si="23"/>
        <v/>
      </c>
      <c r="BB46" s="81" t="str">
        <f>IFERROR(VLOOKUP((CONCATENATE(AY46,BA46)),Listados!$U$3:$V$11,2,FALSE),"")</f>
        <v/>
      </c>
      <c r="BC46" s="81" t="str">
        <f t="shared" si="24"/>
        <v/>
      </c>
      <c r="BD46" s="567"/>
      <c r="BE46" s="567"/>
      <c r="BF46" s="567"/>
      <c r="BG46" s="567"/>
      <c r="BH46" s="582"/>
      <c r="BI46" s="582"/>
      <c r="BJ46" s="582"/>
      <c r="BK46" s="582"/>
      <c r="BL46" s="76"/>
      <c r="BM46" s="76"/>
      <c r="BN46" s="77"/>
      <c r="BO46" s="77"/>
      <c r="BP46" s="76"/>
      <c r="BQ46" s="76"/>
      <c r="BR46" s="168"/>
      <c r="BS46" s="790"/>
      <c r="BT46" s="779"/>
      <c r="BU46" s="848"/>
      <c r="BV46" s="779"/>
      <c r="BW46" s="651"/>
    </row>
    <row r="47" spans="1:75" ht="26.25" customHeight="1" thickBot="1">
      <c r="A47" s="916"/>
      <c r="B47" s="581"/>
      <c r="C47" s="771"/>
      <c r="D47" s="926"/>
      <c r="E47" s="273"/>
      <c r="F47" s="290"/>
      <c r="G47" s="923"/>
      <c r="H47" s="581" t="s">
        <v>73</v>
      </c>
      <c r="I47" s="581" t="s">
        <v>73</v>
      </c>
      <c r="J47" s="581" t="s">
        <v>73</v>
      </c>
      <c r="K47" s="581" t="s">
        <v>73</v>
      </c>
      <c r="L47" s="581" t="s">
        <v>73</v>
      </c>
      <c r="M47" s="581" t="s">
        <v>869</v>
      </c>
      <c r="N47" s="581" t="s">
        <v>73</v>
      </c>
      <c r="O47" s="581" t="s">
        <v>869</v>
      </c>
      <c r="P47" s="581" t="s">
        <v>73</v>
      </c>
      <c r="Q47" s="581" t="s">
        <v>73</v>
      </c>
      <c r="R47" s="581" t="s">
        <v>73</v>
      </c>
      <c r="S47" s="581" t="s">
        <v>73</v>
      </c>
      <c r="T47" s="581" t="s">
        <v>73</v>
      </c>
      <c r="U47" s="581" t="s">
        <v>73</v>
      </c>
      <c r="V47" s="581" t="s">
        <v>73</v>
      </c>
      <c r="W47" s="581" t="s">
        <v>869</v>
      </c>
      <c r="X47" s="581" t="s">
        <v>869</v>
      </c>
      <c r="Y47" s="581" t="s">
        <v>73</v>
      </c>
      <c r="Z47" s="581" t="s">
        <v>869</v>
      </c>
      <c r="AA47" s="583"/>
      <c r="AB47" s="587"/>
      <c r="AC47" s="570"/>
      <c r="AD47" s="570"/>
      <c r="AE47" s="570"/>
      <c r="AF47" s="570"/>
      <c r="AG47" s="288"/>
      <c r="AH47" s="289"/>
      <c r="AI47" s="269"/>
      <c r="AJ47" s="269"/>
      <c r="AK47" s="261" t="str">
        <f t="shared" si="0"/>
        <v>0</v>
      </c>
      <c r="AL47" s="269"/>
      <c r="AM47" s="261" t="str">
        <f t="shared" si="1"/>
        <v>0</v>
      </c>
      <c r="AN47" s="126"/>
      <c r="AO47" s="261" t="str">
        <f t="shared" si="6"/>
        <v>0</v>
      </c>
      <c r="AP47" s="269"/>
      <c r="AQ47" s="261" t="str">
        <f t="shared" si="2"/>
        <v>0</v>
      </c>
      <c r="AR47" s="269"/>
      <c r="AS47" s="261" t="str">
        <f t="shared" si="3"/>
        <v>0</v>
      </c>
      <c r="AT47" s="269"/>
      <c r="AU47" s="261" t="str">
        <f t="shared" si="4"/>
        <v>0</v>
      </c>
      <c r="AV47" s="126"/>
      <c r="AW47" s="261" t="str">
        <f t="shared" si="5"/>
        <v>0</v>
      </c>
      <c r="AX47" s="132" t="str">
        <f t="shared" si="21"/>
        <v/>
      </c>
      <c r="AY47" s="132" t="str">
        <f t="shared" si="22"/>
        <v/>
      </c>
      <c r="AZ47" s="140"/>
      <c r="BA47" s="132" t="str">
        <f t="shared" si="23"/>
        <v/>
      </c>
      <c r="BB47" s="132" t="str">
        <f>IFERROR(VLOOKUP((CONCATENATE(AY47,BA47)),Listados!$U$3:$V$11,2,FALSE),"")</f>
        <v/>
      </c>
      <c r="BC47" s="132" t="str">
        <f t="shared" si="24"/>
        <v/>
      </c>
      <c r="BD47" s="568"/>
      <c r="BE47" s="568"/>
      <c r="BF47" s="568"/>
      <c r="BG47" s="568"/>
      <c r="BH47" s="583"/>
      <c r="BI47" s="583"/>
      <c r="BJ47" s="583"/>
      <c r="BK47" s="583"/>
      <c r="BL47" s="249"/>
      <c r="BM47" s="249"/>
      <c r="BN47" s="250"/>
      <c r="BO47" s="250"/>
      <c r="BP47" s="249"/>
      <c r="BQ47" s="249"/>
      <c r="BR47" s="169"/>
      <c r="BS47" s="791"/>
      <c r="BT47" s="847"/>
      <c r="BU47" s="934"/>
      <c r="BV47" s="847"/>
      <c r="BW47" s="652"/>
    </row>
    <row r="48" spans="1:75" ht="344.25">
      <c r="A48" s="914">
        <v>11</v>
      </c>
      <c r="B48" s="571" t="s">
        <v>275</v>
      </c>
      <c r="C48" s="647" t="s">
        <v>996</v>
      </c>
      <c r="D48" s="924" t="s">
        <v>1021</v>
      </c>
      <c r="E48" s="113" t="s">
        <v>1022</v>
      </c>
      <c r="F48" s="138" t="s">
        <v>67</v>
      </c>
      <c r="G48" s="883" t="s">
        <v>1023</v>
      </c>
      <c r="H48" s="571" t="s">
        <v>73</v>
      </c>
      <c r="I48" s="571" t="s">
        <v>869</v>
      </c>
      <c r="J48" s="571" t="s">
        <v>73</v>
      </c>
      <c r="K48" s="571" t="s">
        <v>73</v>
      </c>
      <c r="L48" s="571" t="s">
        <v>73</v>
      </c>
      <c r="M48" s="571" t="s">
        <v>73</v>
      </c>
      <c r="N48" s="571" t="s">
        <v>73</v>
      </c>
      <c r="O48" s="571" t="s">
        <v>73</v>
      </c>
      <c r="P48" s="571" t="s">
        <v>73</v>
      </c>
      <c r="Q48" s="571" t="s">
        <v>73</v>
      </c>
      <c r="R48" s="571" t="s">
        <v>73</v>
      </c>
      <c r="S48" s="571" t="s">
        <v>73</v>
      </c>
      <c r="T48" s="571" t="s">
        <v>73</v>
      </c>
      <c r="U48" s="571" t="s">
        <v>73</v>
      </c>
      <c r="V48" s="571" t="s">
        <v>73</v>
      </c>
      <c r="W48" s="571" t="s">
        <v>73</v>
      </c>
      <c r="X48" s="571" t="s">
        <v>73</v>
      </c>
      <c r="Y48" s="571" t="s">
        <v>73</v>
      </c>
      <c r="Z48" s="571" t="s">
        <v>73</v>
      </c>
      <c r="AA48" s="632">
        <f>COUNTIF(H48:Z48, "SI")</f>
        <v>18</v>
      </c>
      <c r="AB48" s="585" t="s">
        <v>88</v>
      </c>
      <c r="AC48" s="569">
        <f>+VLOOKUP(AB48,Listados!$K$8:$L$12,2,0)</f>
        <v>3</v>
      </c>
      <c r="AD48" s="569" t="str">
        <f>++IF(OR(AA48=0),"",IF(OR(AA48=1,AA48&lt;=5),"Moderado",IF(OR(AA48=6,AA48&lt;=11),"Mayor",IF(OR(AA48&gt;=12),"Catastrófico",""))))</f>
        <v>Catastrófico</v>
      </c>
      <c r="AE48" s="569">
        <f>+VLOOKUP(AD48,Listados!$K$13:$L$17,2,0)</f>
        <v>5</v>
      </c>
      <c r="AF48" s="569" t="str">
        <f>IF(AND(AB48&lt;&gt;"",AD48&lt;&gt;""),VLOOKUP(AB48&amp;AD48,[3]Listados!$M$3:$N$27,2,FALSE),"")</f>
        <v>Extremo</v>
      </c>
      <c r="AG48" s="116" t="s">
        <v>1024</v>
      </c>
      <c r="AH48" s="117" t="s">
        <v>1022</v>
      </c>
      <c r="AI48" s="115" t="s">
        <v>72</v>
      </c>
      <c r="AJ48" s="115" t="s">
        <v>73</v>
      </c>
      <c r="AK48" s="93">
        <f>+IF(AJ48="si",15,"0")</f>
        <v>15</v>
      </c>
      <c r="AL48" s="94" t="s">
        <v>73</v>
      </c>
      <c r="AM48" s="93">
        <f>+IF(AL48="si",15,"0")</f>
        <v>15</v>
      </c>
      <c r="AN48" s="94" t="s">
        <v>73</v>
      </c>
      <c r="AO48" s="93">
        <f>+IF(AN48="si",15,"0")</f>
        <v>15</v>
      </c>
      <c r="AP48" s="115" t="s">
        <v>72</v>
      </c>
      <c r="AQ48" s="93">
        <f>+IF(AP48="Preventivo",15,IF(AP48="Detectivo",10,"0"))</f>
        <v>15</v>
      </c>
      <c r="AR48" s="94" t="s">
        <v>73</v>
      </c>
      <c r="AS48" s="93">
        <f>+IF(AR48="si",15,"0")</f>
        <v>15</v>
      </c>
      <c r="AT48" s="94" t="s">
        <v>73</v>
      </c>
      <c r="AU48" s="93">
        <f>+IF(AT48="si",15,"0")</f>
        <v>15</v>
      </c>
      <c r="AV48" s="94" t="s">
        <v>74</v>
      </c>
      <c r="AW48" s="93">
        <f>+IF(AV48="Completa",10,IF(AV48="Incompleta",5,"0"))</f>
        <v>10</v>
      </c>
      <c r="AX48" s="119">
        <f t="shared" si="21"/>
        <v>100</v>
      </c>
      <c r="AY48" s="96" t="str">
        <f t="shared" si="22"/>
        <v>Fuerte</v>
      </c>
      <c r="AZ48" s="107" t="s">
        <v>75</v>
      </c>
      <c r="BA48" s="96" t="str">
        <f t="shared" si="23"/>
        <v>Fuerte</v>
      </c>
      <c r="BB48" s="96" t="str">
        <f>IFERROR(VLOOKUP((CONCATENATE(AY48,BA48)),Listados!$U$3:$V$11,2,FALSE),"")</f>
        <v>Fuerte</v>
      </c>
      <c r="BC48" s="96">
        <f t="shared" si="24"/>
        <v>100</v>
      </c>
      <c r="BD48" s="566">
        <f>AVERAGE(BC48:BC51)</f>
        <v>83.333333333333329</v>
      </c>
      <c r="BE48" s="566" t="str">
        <f>IF(BD48&lt;=50,"Débil",IF(BD48&lt;=99,"Moderado",IF(BD48=100,"fuerte","")))</f>
        <v>Moderado</v>
      </c>
      <c r="BF48" s="566">
        <f>+IF(AND(AI48="Preventivo",BE48="Fuerte"),2,IF(AND(AI48="Preventivo",BE48="Moderado"),1,0))</f>
        <v>1</v>
      </c>
      <c r="BG48" s="566">
        <f>+AC48-BF48</f>
        <v>2</v>
      </c>
      <c r="BH48" s="632" t="str">
        <f>+VLOOKUP(MIN(BG48),Listados!$J$18:$K$24,2,TRUE)</f>
        <v>Improbable</v>
      </c>
      <c r="BI48" s="632" t="str">
        <f>AD48</f>
        <v>Catastrófico</v>
      </c>
      <c r="BJ48" s="632" t="str">
        <f>IF(AND(BH48&lt;&gt;"",BI48&lt;&gt;""),VLOOKUP(BH48&amp;BI48,Listados!$M$3:$N$27,2,FALSE),"")</f>
        <v>Extremo</v>
      </c>
      <c r="BK48" s="632" t="str">
        <f>+VLOOKUP(BJ48,Listados!$P$3:$Q$6,2,FALSE)</f>
        <v>Reducir el riesgo</v>
      </c>
      <c r="BL48" s="120" t="s">
        <v>1025</v>
      </c>
      <c r="BM48" s="120" t="s">
        <v>1026</v>
      </c>
      <c r="BN48" s="163">
        <v>45658</v>
      </c>
      <c r="BO48" s="163">
        <v>46022</v>
      </c>
      <c r="BP48" s="120" t="s">
        <v>1002</v>
      </c>
      <c r="BQ48" s="120" t="s">
        <v>1027</v>
      </c>
      <c r="BR48" s="170" t="s">
        <v>1028</v>
      </c>
      <c r="BS48" s="789"/>
      <c r="BT48" s="846"/>
      <c r="BU48" s="933"/>
      <c r="BV48" s="846"/>
      <c r="BW48" s="650"/>
    </row>
    <row r="49" spans="1:75" ht="409.5">
      <c r="A49" s="915"/>
      <c r="B49" s="580"/>
      <c r="C49" s="770"/>
      <c r="D49" s="925"/>
      <c r="E49" s="363" t="s">
        <v>1029</v>
      </c>
      <c r="F49" s="371" t="s">
        <v>67</v>
      </c>
      <c r="G49" s="884"/>
      <c r="H49" s="580" t="s">
        <v>73</v>
      </c>
      <c r="I49" s="580" t="s">
        <v>869</v>
      </c>
      <c r="J49" s="580" t="s">
        <v>73</v>
      </c>
      <c r="K49" s="580" t="s">
        <v>73</v>
      </c>
      <c r="L49" s="580" t="s">
        <v>73</v>
      </c>
      <c r="M49" s="580" t="s">
        <v>73</v>
      </c>
      <c r="N49" s="580" t="s">
        <v>73</v>
      </c>
      <c r="O49" s="580" t="s">
        <v>73</v>
      </c>
      <c r="P49" s="580" t="s">
        <v>73</v>
      </c>
      <c r="Q49" s="580" t="s">
        <v>73</v>
      </c>
      <c r="R49" s="580" t="s">
        <v>73</v>
      </c>
      <c r="S49" s="580" t="s">
        <v>73</v>
      </c>
      <c r="T49" s="580" t="s">
        <v>73</v>
      </c>
      <c r="U49" s="580" t="s">
        <v>73</v>
      </c>
      <c r="V49" s="580" t="s">
        <v>73</v>
      </c>
      <c r="W49" s="580" t="s">
        <v>73</v>
      </c>
      <c r="X49" s="580" t="s">
        <v>73</v>
      </c>
      <c r="Y49" s="580" t="s">
        <v>73</v>
      </c>
      <c r="Z49" s="580" t="s">
        <v>73</v>
      </c>
      <c r="AA49" s="582"/>
      <c r="AB49" s="573"/>
      <c r="AC49" s="565"/>
      <c r="AD49" s="565"/>
      <c r="AE49" s="565"/>
      <c r="AF49" s="565"/>
      <c r="AG49" s="374" t="s">
        <v>1030</v>
      </c>
      <c r="AH49" s="386" t="s">
        <v>1029</v>
      </c>
      <c r="AI49" s="348" t="s">
        <v>72</v>
      </c>
      <c r="AJ49" s="348" t="s">
        <v>73</v>
      </c>
      <c r="AK49" s="333">
        <f t="shared" si="0"/>
        <v>15</v>
      </c>
      <c r="AL49" s="332" t="s">
        <v>73</v>
      </c>
      <c r="AM49" s="333">
        <f t="shared" si="1"/>
        <v>15</v>
      </c>
      <c r="AN49" s="44" t="s">
        <v>73</v>
      </c>
      <c r="AO49" s="333">
        <f t="shared" si="6"/>
        <v>15</v>
      </c>
      <c r="AP49" s="348" t="s">
        <v>72</v>
      </c>
      <c r="AQ49" s="333">
        <f t="shared" si="2"/>
        <v>15</v>
      </c>
      <c r="AR49" s="332" t="s">
        <v>73</v>
      </c>
      <c r="AS49" s="333">
        <f t="shared" si="3"/>
        <v>15</v>
      </c>
      <c r="AT49" s="332" t="s">
        <v>73</v>
      </c>
      <c r="AU49" s="333">
        <f t="shared" si="4"/>
        <v>15</v>
      </c>
      <c r="AV49" s="44" t="s">
        <v>74</v>
      </c>
      <c r="AW49" s="333">
        <f t="shared" si="5"/>
        <v>10</v>
      </c>
      <c r="AX49" s="81">
        <f t="shared" si="21"/>
        <v>100</v>
      </c>
      <c r="AY49" s="71" t="str">
        <f t="shared" si="22"/>
        <v>Fuerte</v>
      </c>
      <c r="AZ49" s="75" t="s">
        <v>75</v>
      </c>
      <c r="BA49" s="71" t="str">
        <f t="shared" si="23"/>
        <v>Fuerte</v>
      </c>
      <c r="BB49" s="71" t="str">
        <f>IFERROR(VLOOKUP((CONCATENATE(AY49,BA49)),Listados!$U$3:$V$11,2,FALSE),"")</f>
        <v>Fuerte</v>
      </c>
      <c r="BC49" s="71">
        <f t="shared" si="24"/>
        <v>100</v>
      </c>
      <c r="BD49" s="567"/>
      <c r="BE49" s="567"/>
      <c r="BF49" s="567"/>
      <c r="BG49" s="567"/>
      <c r="BH49" s="582"/>
      <c r="BI49" s="582"/>
      <c r="BJ49" s="582"/>
      <c r="BK49" s="582"/>
      <c r="BL49" s="343" t="s">
        <v>1031</v>
      </c>
      <c r="BM49" s="343" t="s">
        <v>1032</v>
      </c>
      <c r="BN49" s="142">
        <v>45658</v>
      </c>
      <c r="BO49" s="142">
        <v>46022</v>
      </c>
      <c r="BP49" s="343" t="s">
        <v>1002</v>
      </c>
      <c r="BQ49" s="343" t="s">
        <v>1033</v>
      </c>
      <c r="BR49" s="390" t="s">
        <v>1034</v>
      </c>
      <c r="BS49" s="790"/>
      <c r="BT49" s="779"/>
      <c r="BU49" s="848"/>
      <c r="BV49" s="779"/>
      <c r="BW49" s="651"/>
    </row>
    <row r="50" spans="1:75" ht="336" customHeight="1" thickBot="1">
      <c r="A50" s="915"/>
      <c r="B50" s="580"/>
      <c r="C50" s="770"/>
      <c r="D50" s="925"/>
      <c r="E50" s="363" t="s">
        <v>1035</v>
      </c>
      <c r="F50" s="371" t="s">
        <v>67</v>
      </c>
      <c r="G50" s="884"/>
      <c r="H50" s="580" t="s">
        <v>73</v>
      </c>
      <c r="I50" s="580" t="s">
        <v>869</v>
      </c>
      <c r="J50" s="580" t="s">
        <v>73</v>
      </c>
      <c r="K50" s="580" t="s">
        <v>73</v>
      </c>
      <c r="L50" s="580" t="s">
        <v>73</v>
      </c>
      <c r="M50" s="580" t="s">
        <v>73</v>
      </c>
      <c r="N50" s="580" t="s">
        <v>73</v>
      </c>
      <c r="O50" s="580" t="s">
        <v>73</v>
      </c>
      <c r="P50" s="580" t="s">
        <v>73</v>
      </c>
      <c r="Q50" s="580" t="s">
        <v>73</v>
      </c>
      <c r="R50" s="580" t="s">
        <v>73</v>
      </c>
      <c r="S50" s="580" t="s">
        <v>73</v>
      </c>
      <c r="T50" s="580" t="s">
        <v>73</v>
      </c>
      <c r="U50" s="580" t="s">
        <v>73</v>
      </c>
      <c r="V50" s="580" t="s">
        <v>73</v>
      </c>
      <c r="W50" s="580" t="s">
        <v>73</v>
      </c>
      <c r="X50" s="580" t="s">
        <v>73</v>
      </c>
      <c r="Y50" s="580" t="s">
        <v>73</v>
      </c>
      <c r="Z50" s="580" t="s">
        <v>73</v>
      </c>
      <c r="AA50" s="582"/>
      <c r="AB50" s="573"/>
      <c r="AC50" s="565"/>
      <c r="AD50" s="565"/>
      <c r="AE50" s="565"/>
      <c r="AF50" s="565"/>
      <c r="AG50" s="374" t="s">
        <v>1036</v>
      </c>
      <c r="AH50" s="386" t="s">
        <v>1035</v>
      </c>
      <c r="AI50" s="348" t="s">
        <v>83</v>
      </c>
      <c r="AJ50" s="348" t="s">
        <v>73</v>
      </c>
      <c r="AK50" s="333">
        <f t="shared" si="0"/>
        <v>15</v>
      </c>
      <c r="AL50" s="332" t="s">
        <v>73</v>
      </c>
      <c r="AM50" s="333">
        <f t="shared" si="1"/>
        <v>15</v>
      </c>
      <c r="AN50" s="44" t="s">
        <v>73</v>
      </c>
      <c r="AO50" s="333">
        <f t="shared" si="6"/>
        <v>15</v>
      </c>
      <c r="AP50" s="348" t="s">
        <v>83</v>
      </c>
      <c r="AQ50" s="333">
        <f t="shared" si="2"/>
        <v>10</v>
      </c>
      <c r="AR50" s="332" t="s">
        <v>73</v>
      </c>
      <c r="AS50" s="333">
        <f t="shared" si="3"/>
        <v>15</v>
      </c>
      <c r="AT50" s="332" t="s">
        <v>73</v>
      </c>
      <c r="AU50" s="333">
        <f t="shared" si="4"/>
        <v>15</v>
      </c>
      <c r="AV50" s="44" t="s">
        <v>74</v>
      </c>
      <c r="AW50" s="333">
        <f t="shared" si="5"/>
        <v>10</v>
      </c>
      <c r="AX50" s="81">
        <f t="shared" si="21"/>
        <v>95</v>
      </c>
      <c r="AY50" s="71" t="str">
        <f t="shared" si="22"/>
        <v>Moderado</v>
      </c>
      <c r="AZ50" s="75" t="s">
        <v>75</v>
      </c>
      <c r="BA50" s="71" t="str">
        <f t="shared" si="23"/>
        <v>Fuerte</v>
      </c>
      <c r="BB50" s="71" t="str">
        <f>IFERROR(VLOOKUP((CONCATENATE(AY50,BA50)),Listados!$U$3:$V$11,2,FALSE),"")</f>
        <v>Moderado</v>
      </c>
      <c r="BC50" s="71">
        <f t="shared" si="24"/>
        <v>50</v>
      </c>
      <c r="BD50" s="567"/>
      <c r="BE50" s="567"/>
      <c r="BF50" s="567"/>
      <c r="BG50" s="567"/>
      <c r="BH50" s="582"/>
      <c r="BI50" s="582"/>
      <c r="BJ50" s="582"/>
      <c r="BK50" s="582"/>
      <c r="BL50" s="343" t="s">
        <v>1037</v>
      </c>
      <c r="BM50" s="343" t="s">
        <v>1032</v>
      </c>
      <c r="BN50" s="393">
        <v>45658</v>
      </c>
      <c r="BO50" s="393">
        <v>46022</v>
      </c>
      <c r="BP50" s="343" t="s">
        <v>1002</v>
      </c>
      <c r="BQ50" s="343" t="s">
        <v>1038</v>
      </c>
      <c r="BR50" s="292" t="s">
        <v>1039</v>
      </c>
      <c r="BS50" s="790"/>
      <c r="BT50" s="779"/>
      <c r="BU50" s="848"/>
      <c r="BV50" s="779"/>
      <c r="BW50" s="651"/>
    </row>
    <row r="51" spans="1:75" ht="15.75" thickBot="1">
      <c r="A51" s="916"/>
      <c r="B51" s="581"/>
      <c r="C51" s="771"/>
      <c r="D51" s="926"/>
      <c r="E51" s="273"/>
      <c r="F51" s="290"/>
      <c r="G51" s="923"/>
      <c r="H51" s="581" t="s">
        <v>73</v>
      </c>
      <c r="I51" s="581" t="s">
        <v>869</v>
      </c>
      <c r="J51" s="581" t="s">
        <v>73</v>
      </c>
      <c r="K51" s="581" t="s">
        <v>73</v>
      </c>
      <c r="L51" s="581" t="s">
        <v>73</v>
      </c>
      <c r="M51" s="581" t="s">
        <v>73</v>
      </c>
      <c r="N51" s="581" t="s">
        <v>73</v>
      </c>
      <c r="O51" s="581" t="s">
        <v>73</v>
      </c>
      <c r="P51" s="581" t="s">
        <v>73</v>
      </c>
      <c r="Q51" s="581" t="s">
        <v>73</v>
      </c>
      <c r="R51" s="581" t="s">
        <v>73</v>
      </c>
      <c r="S51" s="581" t="s">
        <v>73</v>
      </c>
      <c r="T51" s="581" t="s">
        <v>73</v>
      </c>
      <c r="U51" s="581" t="s">
        <v>73</v>
      </c>
      <c r="V51" s="581" t="s">
        <v>73</v>
      </c>
      <c r="W51" s="581" t="s">
        <v>73</v>
      </c>
      <c r="X51" s="581" t="s">
        <v>73</v>
      </c>
      <c r="Y51" s="581" t="s">
        <v>73</v>
      </c>
      <c r="Z51" s="581" t="s">
        <v>73</v>
      </c>
      <c r="AA51" s="583"/>
      <c r="AB51" s="587"/>
      <c r="AC51" s="570"/>
      <c r="AD51" s="570"/>
      <c r="AE51" s="570"/>
      <c r="AF51" s="570"/>
      <c r="AG51" s="288"/>
      <c r="AH51" s="289"/>
      <c r="AI51" s="269"/>
      <c r="AJ51" s="269"/>
      <c r="AK51" s="261" t="str">
        <f t="shared" si="0"/>
        <v>0</v>
      </c>
      <c r="AL51" s="269"/>
      <c r="AM51" s="261" t="str">
        <f t="shared" si="1"/>
        <v>0</v>
      </c>
      <c r="AN51" s="126"/>
      <c r="AO51" s="261" t="str">
        <f t="shared" si="6"/>
        <v>0</v>
      </c>
      <c r="AP51" s="269"/>
      <c r="AQ51" s="261" t="str">
        <f t="shared" si="2"/>
        <v>0</v>
      </c>
      <c r="AR51" s="269"/>
      <c r="AS51" s="261" t="str">
        <f t="shared" si="3"/>
        <v>0</v>
      </c>
      <c r="AT51" s="269"/>
      <c r="AU51" s="261" t="str">
        <f t="shared" si="4"/>
        <v>0</v>
      </c>
      <c r="AV51" s="126"/>
      <c r="AW51" s="261" t="str">
        <f t="shared" si="5"/>
        <v>0</v>
      </c>
      <c r="AX51" s="132" t="str">
        <f t="shared" si="21"/>
        <v/>
      </c>
      <c r="AY51" s="132" t="str">
        <f t="shared" si="22"/>
        <v/>
      </c>
      <c r="AZ51" s="140"/>
      <c r="BA51" s="132" t="str">
        <f t="shared" si="23"/>
        <v/>
      </c>
      <c r="BB51" s="132" t="str">
        <f>IFERROR(VLOOKUP((CONCATENATE(AY51,BA51)),Listados!$U$3:$V$11,2,FALSE),"")</f>
        <v/>
      </c>
      <c r="BC51" s="132" t="str">
        <f t="shared" si="24"/>
        <v/>
      </c>
      <c r="BD51" s="568"/>
      <c r="BE51" s="568"/>
      <c r="BF51" s="568"/>
      <c r="BG51" s="568"/>
      <c r="BH51" s="583"/>
      <c r="BI51" s="583"/>
      <c r="BJ51" s="583"/>
      <c r="BK51" s="583"/>
      <c r="BL51" s="249"/>
      <c r="BM51" s="249"/>
      <c r="BN51" s="250"/>
      <c r="BO51" s="250"/>
      <c r="BP51" s="249"/>
      <c r="BQ51" s="249"/>
      <c r="BR51" s="166"/>
      <c r="BS51" s="791"/>
      <c r="BT51" s="847"/>
      <c r="BU51" s="934"/>
      <c r="BV51" s="847"/>
      <c r="BW51" s="652"/>
    </row>
    <row r="52" spans="1:75" ht="120">
      <c r="A52" s="914">
        <v>12</v>
      </c>
      <c r="B52" s="571" t="s">
        <v>778</v>
      </c>
      <c r="C52" s="647" t="s">
        <v>1040</v>
      </c>
      <c r="D52" s="883" t="s">
        <v>1041</v>
      </c>
      <c r="E52" s="150" t="s">
        <v>1042</v>
      </c>
      <c r="F52" s="138" t="s">
        <v>67</v>
      </c>
      <c r="G52" s="162" t="s">
        <v>1043</v>
      </c>
      <c r="H52" s="571" t="s">
        <v>73</v>
      </c>
      <c r="I52" s="571" t="s">
        <v>73</v>
      </c>
      <c r="J52" s="571" t="s">
        <v>73</v>
      </c>
      <c r="K52" s="571" t="s">
        <v>869</v>
      </c>
      <c r="L52" s="571" t="s">
        <v>869</v>
      </c>
      <c r="M52" s="571" t="s">
        <v>869</v>
      </c>
      <c r="N52" s="571" t="s">
        <v>869</v>
      </c>
      <c r="O52" s="571" t="s">
        <v>869</v>
      </c>
      <c r="P52" s="571" t="s">
        <v>869</v>
      </c>
      <c r="Q52" s="571" t="s">
        <v>869</v>
      </c>
      <c r="R52" s="571" t="s">
        <v>869</v>
      </c>
      <c r="S52" s="571" t="s">
        <v>869</v>
      </c>
      <c r="T52" s="571" t="s">
        <v>869</v>
      </c>
      <c r="U52" s="571" t="s">
        <v>869</v>
      </c>
      <c r="V52" s="571" t="s">
        <v>869</v>
      </c>
      <c r="W52" s="571" t="s">
        <v>869</v>
      </c>
      <c r="X52" s="571" t="s">
        <v>869</v>
      </c>
      <c r="Y52" s="571" t="s">
        <v>869</v>
      </c>
      <c r="Z52" s="571" t="s">
        <v>869</v>
      </c>
      <c r="AA52" s="632">
        <f>COUNTIF(H52:Z52, "SI")</f>
        <v>3</v>
      </c>
      <c r="AB52" s="585" t="s">
        <v>69</v>
      </c>
      <c r="AC52" s="569">
        <f>+VLOOKUP(AB52,Listados!$K$8:$L$12,2,0)</f>
        <v>5</v>
      </c>
      <c r="AD52" s="569" t="str">
        <f>++IF(OR(AA52=0),"",IF(OR(AA52=1,AA52&lt;=5),"Moderado",IF(OR(AA52=6,AA52&lt;=11),"Mayor",IF(OR(AA52&gt;=12),"Catastrófico",""))))</f>
        <v>Moderado</v>
      </c>
      <c r="AE52" s="569">
        <f>+VLOOKUP(AD52,Listados!$K$13:$L$17,2,0)</f>
        <v>3</v>
      </c>
      <c r="AF52" s="569" t="str">
        <f>IF(AND(AB52&lt;&gt;"",AD52&lt;&gt;""),VLOOKUP(AB52&amp;AD52,[3]Listados!$M$3:$N$27,2,FALSE),"")</f>
        <v>Extremo</v>
      </c>
      <c r="AG52" s="116" t="s">
        <v>1044</v>
      </c>
      <c r="AH52" s="117" t="s">
        <v>1045</v>
      </c>
      <c r="AI52" s="115" t="s">
        <v>72</v>
      </c>
      <c r="AJ52" s="115" t="s">
        <v>73</v>
      </c>
      <c r="AK52" s="93">
        <f>+IF(AJ52="si",15,"0")</f>
        <v>15</v>
      </c>
      <c r="AL52" s="115" t="s">
        <v>73</v>
      </c>
      <c r="AM52" s="93">
        <f>+IF(AL52="si",15,"0")</f>
        <v>15</v>
      </c>
      <c r="AN52" s="115" t="s">
        <v>73</v>
      </c>
      <c r="AO52" s="93">
        <f>+IF(AN52="si",15,"0")</f>
        <v>15</v>
      </c>
      <c r="AP52" s="115" t="s">
        <v>72</v>
      </c>
      <c r="AQ52" s="93">
        <f>+IF(AP52="Preventivo",15,IF(AP52="Detectivo",10,"0"))</f>
        <v>15</v>
      </c>
      <c r="AR52" s="115" t="s">
        <v>73</v>
      </c>
      <c r="AS52" s="93">
        <f>+IF(AR52="si",15,"0")</f>
        <v>15</v>
      </c>
      <c r="AT52" s="115" t="s">
        <v>73</v>
      </c>
      <c r="AU52" s="93">
        <f>+IF(AT52="si",15,"0")</f>
        <v>15</v>
      </c>
      <c r="AV52" s="115" t="s">
        <v>74</v>
      </c>
      <c r="AW52" s="93">
        <f>+IF(AV52="Completa",10,IF(AV52="Incompleta",5,"0"))</f>
        <v>10</v>
      </c>
      <c r="AX52" s="119">
        <f t="shared" si="21"/>
        <v>100</v>
      </c>
      <c r="AY52" s="119" t="str">
        <f t="shared" si="22"/>
        <v>Fuerte</v>
      </c>
      <c r="AZ52" s="118" t="s">
        <v>75</v>
      </c>
      <c r="BA52" s="119" t="str">
        <f t="shared" si="23"/>
        <v>Fuerte</v>
      </c>
      <c r="BB52" s="119" t="str">
        <f>IFERROR(VLOOKUP((CONCATENATE(AY52,BA52)),Listados!$U$3:$V$11,2,FALSE),"")</f>
        <v>Fuerte</v>
      </c>
      <c r="BC52" s="119">
        <f t="shared" si="24"/>
        <v>100</v>
      </c>
      <c r="BD52" s="566">
        <f>AVERAGE(BC52:BC55)</f>
        <v>100</v>
      </c>
      <c r="BE52" s="566" t="str">
        <f>IF(BD52&lt;=50,"Débil",IF(BD52&lt;=99,"Moderado",IF(BD52=100,"fuerte","")))</f>
        <v>fuerte</v>
      </c>
      <c r="BF52" s="566">
        <f>+IF(AND(AI52="Preventivo",BE52="Fuerte"),2,IF(AND(AI52="Preventivo",BE52="Moderado"),1,0))</f>
        <v>2</v>
      </c>
      <c r="BG52" s="566">
        <f>+AC52-BF52</f>
        <v>3</v>
      </c>
      <c r="BH52" s="632" t="str">
        <f>+VLOOKUP(MIN(BG52),Listados!$J$18:$K$24,2,TRUE)</f>
        <v>Posible</v>
      </c>
      <c r="BI52" s="632" t="str">
        <f>AD52</f>
        <v>Moderado</v>
      </c>
      <c r="BJ52" s="632" t="str">
        <f>IF(AND(BH52&lt;&gt;"",BI52&lt;&gt;""),VLOOKUP(BH52&amp;BI52,Listados!$M$3:$N$27,2,FALSE),"")</f>
        <v>Alto</v>
      </c>
      <c r="BK52" s="632" t="str">
        <f>+VLOOKUP(BJ52,Listados!$P$3:$Q$6,2,FALSE)</f>
        <v>Reducir el riesgo</v>
      </c>
      <c r="BL52" s="120" t="s">
        <v>1046</v>
      </c>
      <c r="BM52" s="120" t="s">
        <v>1047</v>
      </c>
      <c r="BN52" s="163">
        <v>45778</v>
      </c>
      <c r="BO52" s="164">
        <v>45900</v>
      </c>
      <c r="BP52" s="120" t="s">
        <v>1048</v>
      </c>
      <c r="BQ52" s="120" t="s">
        <v>1049</v>
      </c>
      <c r="BR52" s="786" t="s">
        <v>1050</v>
      </c>
      <c r="BS52" s="789"/>
      <c r="BT52" s="846"/>
      <c r="BU52" s="933"/>
      <c r="BV52" s="846"/>
      <c r="BW52" s="650"/>
    </row>
    <row r="53" spans="1:75" ht="89.25">
      <c r="A53" s="915"/>
      <c r="B53" s="580"/>
      <c r="C53" s="770"/>
      <c r="D53" s="884"/>
      <c r="E53" s="384" t="s">
        <v>1045</v>
      </c>
      <c r="F53" s="371" t="s">
        <v>67</v>
      </c>
      <c r="G53" s="391" t="s">
        <v>1051</v>
      </c>
      <c r="H53" s="580" t="s">
        <v>73</v>
      </c>
      <c r="I53" s="580" t="s">
        <v>73</v>
      </c>
      <c r="J53" s="580" t="s">
        <v>73</v>
      </c>
      <c r="K53" s="580" t="s">
        <v>869</v>
      </c>
      <c r="L53" s="580" t="s">
        <v>869</v>
      </c>
      <c r="M53" s="580" t="s">
        <v>869</v>
      </c>
      <c r="N53" s="580" t="s">
        <v>869</v>
      </c>
      <c r="O53" s="580" t="s">
        <v>869</v>
      </c>
      <c r="P53" s="580" t="s">
        <v>869</v>
      </c>
      <c r="Q53" s="580" t="s">
        <v>869</v>
      </c>
      <c r="R53" s="580" t="s">
        <v>869</v>
      </c>
      <c r="S53" s="580" t="s">
        <v>869</v>
      </c>
      <c r="T53" s="580" t="s">
        <v>869</v>
      </c>
      <c r="U53" s="580" t="s">
        <v>869</v>
      </c>
      <c r="V53" s="580" t="s">
        <v>869</v>
      </c>
      <c r="W53" s="580" t="s">
        <v>869</v>
      </c>
      <c r="X53" s="580" t="s">
        <v>869</v>
      </c>
      <c r="Y53" s="580" t="s">
        <v>869</v>
      </c>
      <c r="Z53" s="580" t="s">
        <v>869</v>
      </c>
      <c r="AA53" s="582"/>
      <c r="AB53" s="573"/>
      <c r="AC53" s="565"/>
      <c r="AD53" s="565"/>
      <c r="AE53" s="565"/>
      <c r="AF53" s="565"/>
      <c r="AG53" s="376"/>
      <c r="AH53" s="80"/>
      <c r="AI53" s="348"/>
      <c r="AJ53" s="348"/>
      <c r="AK53" s="333" t="str">
        <f t="shared" si="0"/>
        <v>0</v>
      </c>
      <c r="AL53" s="348"/>
      <c r="AM53" s="333" t="str">
        <f t="shared" si="1"/>
        <v>0</v>
      </c>
      <c r="AN53" s="55"/>
      <c r="AO53" s="333" t="str">
        <f t="shared" si="6"/>
        <v>0</v>
      </c>
      <c r="AP53" s="348"/>
      <c r="AQ53" s="333" t="str">
        <f t="shared" si="2"/>
        <v>0</v>
      </c>
      <c r="AR53" s="348"/>
      <c r="AS53" s="333" t="str">
        <f t="shared" si="3"/>
        <v>0</v>
      </c>
      <c r="AT53" s="348"/>
      <c r="AU53" s="333" t="str">
        <f t="shared" si="4"/>
        <v>0</v>
      </c>
      <c r="AV53" s="55"/>
      <c r="AW53" s="333" t="str">
        <f t="shared" si="5"/>
        <v>0</v>
      </c>
      <c r="AX53" s="81" t="str">
        <f t="shared" si="21"/>
        <v/>
      </c>
      <c r="AY53" s="81" t="str">
        <f t="shared" si="22"/>
        <v/>
      </c>
      <c r="AZ53" s="82"/>
      <c r="BA53" s="81" t="str">
        <f t="shared" si="23"/>
        <v/>
      </c>
      <c r="BB53" s="81" t="str">
        <f>IFERROR(VLOOKUP((CONCATENATE(AY53,BA53)),Listados!$U$3:$V$11,2,FALSE),"")</f>
        <v/>
      </c>
      <c r="BC53" s="81" t="str">
        <f t="shared" si="24"/>
        <v/>
      </c>
      <c r="BD53" s="567"/>
      <c r="BE53" s="567"/>
      <c r="BF53" s="567"/>
      <c r="BG53" s="567"/>
      <c r="BH53" s="582"/>
      <c r="BI53" s="582"/>
      <c r="BJ53" s="582"/>
      <c r="BK53" s="582"/>
      <c r="BL53" s="343" t="s">
        <v>1052</v>
      </c>
      <c r="BM53" s="343" t="s">
        <v>1047</v>
      </c>
      <c r="BN53" s="393">
        <v>45778</v>
      </c>
      <c r="BO53" s="393">
        <v>45900</v>
      </c>
      <c r="BP53" s="343" t="s">
        <v>1048</v>
      </c>
      <c r="BQ53" s="343" t="s">
        <v>1053</v>
      </c>
      <c r="BR53" s="787"/>
      <c r="BS53" s="790"/>
      <c r="BT53" s="779"/>
      <c r="BU53" s="848"/>
      <c r="BV53" s="779"/>
      <c r="BW53" s="651"/>
    </row>
    <row r="54" spans="1:75" ht="30">
      <c r="A54" s="915"/>
      <c r="B54" s="580"/>
      <c r="C54" s="770"/>
      <c r="D54" s="884"/>
      <c r="E54" s="384"/>
      <c r="F54" s="394"/>
      <c r="G54" s="391"/>
      <c r="H54" s="580" t="s">
        <v>73</v>
      </c>
      <c r="I54" s="580" t="s">
        <v>73</v>
      </c>
      <c r="J54" s="580" t="s">
        <v>73</v>
      </c>
      <c r="K54" s="580" t="s">
        <v>869</v>
      </c>
      <c r="L54" s="580" t="s">
        <v>869</v>
      </c>
      <c r="M54" s="580" t="s">
        <v>869</v>
      </c>
      <c r="N54" s="580" t="s">
        <v>869</v>
      </c>
      <c r="O54" s="580" t="s">
        <v>869</v>
      </c>
      <c r="P54" s="580" t="s">
        <v>869</v>
      </c>
      <c r="Q54" s="580" t="s">
        <v>869</v>
      </c>
      <c r="R54" s="580" t="s">
        <v>869</v>
      </c>
      <c r="S54" s="580" t="s">
        <v>869</v>
      </c>
      <c r="T54" s="580" t="s">
        <v>869</v>
      </c>
      <c r="U54" s="580" t="s">
        <v>869</v>
      </c>
      <c r="V54" s="580" t="s">
        <v>869</v>
      </c>
      <c r="W54" s="580" t="s">
        <v>869</v>
      </c>
      <c r="X54" s="580" t="s">
        <v>869</v>
      </c>
      <c r="Y54" s="580" t="s">
        <v>869</v>
      </c>
      <c r="Z54" s="580" t="s">
        <v>869</v>
      </c>
      <c r="AA54" s="582"/>
      <c r="AB54" s="573"/>
      <c r="AC54" s="565"/>
      <c r="AD54" s="565"/>
      <c r="AE54" s="565"/>
      <c r="AF54" s="565"/>
      <c r="AG54" s="376"/>
      <c r="AH54" s="347"/>
      <c r="AI54" s="348"/>
      <c r="AJ54" s="348"/>
      <c r="AK54" s="333" t="str">
        <f t="shared" si="0"/>
        <v>0</v>
      </c>
      <c r="AL54" s="348"/>
      <c r="AM54" s="333" t="str">
        <f t="shared" si="1"/>
        <v>0</v>
      </c>
      <c r="AN54" s="55"/>
      <c r="AO54" s="333" t="str">
        <f t="shared" si="6"/>
        <v>0</v>
      </c>
      <c r="AP54" s="348"/>
      <c r="AQ54" s="333" t="str">
        <f t="shared" si="2"/>
        <v>0</v>
      </c>
      <c r="AR54" s="348"/>
      <c r="AS54" s="333" t="str">
        <f t="shared" si="3"/>
        <v>0</v>
      </c>
      <c r="AT54" s="348"/>
      <c r="AU54" s="333" t="str">
        <f t="shared" si="4"/>
        <v>0</v>
      </c>
      <c r="AV54" s="55"/>
      <c r="AW54" s="333" t="str">
        <f t="shared" si="5"/>
        <v>0</v>
      </c>
      <c r="AX54" s="81" t="str">
        <f t="shared" si="21"/>
        <v/>
      </c>
      <c r="AY54" s="81" t="str">
        <f t="shared" si="22"/>
        <v/>
      </c>
      <c r="AZ54" s="82"/>
      <c r="BA54" s="81" t="str">
        <f t="shared" si="23"/>
        <v/>
      </c>
      <c r="BB54" s="81" t="str">
        <f>IFERROR(VLOOKUP((CONCATENATE(AY54,BA54)),Listados!$U$3:$V$11,2,FALSE),"")</f>
        <v/>
      </c>
      <c r="BC54" s="81" t="str">
        <f t="shared" si="24"/>
        <v/>
      </c>
      <c r="BD54" s="567"/>
      <c r="BE54" s="567"/>
      <c r="BF54" s="567"/>
      <c r="BG54" s="567"/>
      <c r="BH54" s="582"/>
      <c r="BI54" s="582"/>
      <c r="BJ54" s="582"/>
      <c r="BK54" s="582"/>
      <c r="BL54" s="343" t="s">
        <v>1054</v>
      </c>
      <c r="BM54" s="343" t="s">
        <v>1055</v>
      </c>
      <c r="BN54" s="393">
        <v>45658</v>
      </c>
      <c r="BO54" s="393">
        <v>46022</v>
      </c>
      <c r="BP54" s="343" t="s">
        <v>1048</v>
      </c>
      <c r="BQ54" s="343" t="s">
        <v>788</v>
      </c>
      <c r="BR54" s="787"/>
      <c r="BS54" s="790"/>
      <c r="BT54" s="779"/>
      <c r="BU54" s="848"/>
      <c r="BV54" s="779"/>
      <c r="BW54" s="651"/>
    </row>
    <row r="55" spans="1:75" ht="15.75" thickBot="1">
      <c r="A55" s="916"/>
      <c r="B55" s="581"/>
      <c r="C55" s="771"/>
      <c r="D55" s="923"/>
      <c r="E55" s="282"/>
      <c r="F55" s="293"/>
      <c r="G55" s="294"/>
      <c r="H55" s="581" t="s">
        <v>73</v>
      </c>
      <c r="I55" s="581" t="s">
        <v>73</v>
      </c>
      <c r="J55" s="581" t="s">
        <v>73</v>
      </c>
      <c r="K55" s="581" t="s">
        <v>869</v>
      </c>
      <c r="L55" s="581" t="s">
        <v>869</v>
      </c>
      <c r="M55" s="581" t="s">
        <v>869</v>
      </c>
      <c r="N55" s="581" t="s">
        <v>869</v>
      </c>
      <c r="O55" s="581" t="s">
        <v>869</v>
      </c>
      <c r="P55" s="581" t="s">
        <v>869</v>
      </c>
      <c r="Q55" s="581" t="s">
        <v>869</v>
      </c>
      <c r="R55" s="581" t="s">
        <v>869</v>
      </c>
      <c r="S55" s="581" t="s">
        <v>869</v>
      </c>
      <c r="T55" s="581" t="s">
        <v>869</v>
      </c>
      <c r="U55" s="581" t="s">
        <v>869</v>
      </c>
      <c r="V55" s="581" t="s">
        <v>869</v>
      </c>
      <c r="W55" s="581" t="s">
        <v>869</v>
      </c>
      <c r="X55" s="581" t="s">
        <v>869</v>
      </c>
      <c r="Y55" s="581" t="s">
        <v>869</v>
      </c>
      <c r="Z55" s="581" t="s">
        <v>869</v>
      </c>
      <c r="AA55" s="583"/>
      <c r="AB55" s="587"/>
      <c r="AC55" s="570"/>
      <c r="AD55" s="570"/>
      <c r="AE55" s="570"/>
      <c r="AF55" s="570"/>
      <c r="AG55" s="280"/>
      <c r="AH55" s="258"/>
      <c r="AI55" s="269"/>
      <c r="AJ55" s="269"/>
      <c r="AK55" s="261" t="str">
        <f t="shared" si="0"/>
        <v>0</v>
      </c>
      <c r="AL55" s="269"/>
      <c r="AM55" s="261" t="str">
        <f t="shared" si="1"/>
        <v>0</v>
      </c>
      <c r="AN55" s="126"/>
      <c r="AO55" s="261" t="str">
        <f t="shared" si="6"/>
        <v>0</v>
      </c>
      <c r="AP55" s="269"/>
      <c r="AQ55" s="261" t="str">
        <f t="shared" si="2"/>
        <v>0</v>
      </c>
      <c r="AR55" s="269"/>
      <c r="AS55" s="261" t="str">
        <f t="shared" si="3"/>
        <v>0</v>
      </c>
      <c r="AT55" s="269"/>
      <c r="AU55" s="261" t="str">
        <f t="shared" si="4"/>
        <v>0</v>
      </c>
      <c r="AV55" s="126"/>
      <c r="AW55" s="261" t="str">
        <f t="shared" si="5"/>
        <v>0</v>
      </c>
      <c r="AX55" s="132" t="str">
        <f t="shared" si="21"/>
        <v/>
      </c>
      <c r="AY55" s="132" t="str">
        <f t="shared" si="22"/>
        <v/>
      </c>
      <c r="AZ55" s="140"/>
      <c r="BA55" s="132" t="str">
        <f t="shared" si="23"/>
        <v/>
      </c>
      <c r="BB55" s="132" t="str">
        <f>IFERROR(VLOOKUP((CONCATENATE(AY55,BA55)),Listados!$U$3:$V$11,2,FALSE),"")</f>
        <v/>
      </c>
      <c r="BC55" s="132" t="str">
        <f t="shared" si="24"/>
        <v/>
      </c>
      <c r="BD55" s="568"/>
      <c r="BE55" s="568"/>
      <c r="BF55" s="568"/>
      <c r="BG55" s="568"/>
      <c r="BH55" s="583"/>
      <c r="BI55" s="583"/>
      <c r="BJ55" s="583"/>
      <c r="BK55" s="583"/>
      <c r="BL55" s="266"/>
      <c r="BM55" s="266"/>
      <c r="BN55" s="295"/>
      <c r="BO55" s="295"/>
      <c r="BP55" s="266"/>
      <c r="BQ55" s="266"/>
      <c r="BR55" s="788"/>
      <c r="BS55" s="791"/>
      <c r="BT55" s="847"/>
      <c r="BU55" s="934"/>
      <c r="BV55" s="847"/>
      <c r="BW55" s="652"/>
    </row>
    <row r="56" spans="1:75" ht="142.5" customHeight="1" thickBot="1">
      <c r="A56" s="914">
        <v>13</v>
      </c>
      <c r="B56" s="571" t="s">
        <v>796</v>
      </c>
      <c r="C56" s="632" t="s">
        <v>1056</v>
      </c>
      <c r="D56" s="571" t="s">
        <v>1057</v>
      </c>
      <c r="E56" s="113" t="s">
        <v>1058</v>
      </c>
      <c r="F56" s="205" t="s">
        <v>67</v>
      </c>
      <c r="G56" s="156" t="s">
        <v>1059</v>
      </c>
      <c r="H56" s="571" t="s">
        <v>73</v>
      </c>
      <c r="I56" s="571" t="s">
        <v>73</v>
      </c>
      <c r="J56" s="571" t="s">
        <v>869</v>
      </c>
      <c r="K56" s="571" t="s">
        <v>869</v>
      </c>
      <c r="L56" s="571" t="s">
        <v>73</v>
      </c>
      <c r="M56" s="571" t="s">
        <v>869</v>
      </c>
      <c r="N56" s="571" t="s">
        <v>73</v>
      </c>
      <c r="O56" s="571" t="s">
        <v>869</v>
      </c>
      <c r="P56" s="571" t="s">
        <v>73</v>
      </c>
      <c r="Q56" s="571" t="s">
        <v>73</v>
      </c>
      <c r="R56" s="571" t="s">
        <v>73</v>
      </c>
      <c r="S56" s="571" t="s">
        <v>73</v>
      </c>
      <c r="T56" s="571" t="s">
        <v>869</v>
      </c>
      <c r="U56" s="571" t="s">
        <v>73</v>
      </c>
      <c r="V56" s="571" t="s">
        <v>73</v>
      </c>
      <c r="W56" s="571" t="s">
        <v>869</v>
      </c>
      <c r="X56" s="571" t="s">
        <v>869</v>
      </c>
      <c r="Y56" s="571" t="s">
        <v>869</v>
      </c>
      <c r="Z56" s="571" t="s">
        <v>869</v>
      </c>
      <c r="AA56" s="632">
        <f>COUNTIF(H56:Z56, "SI")</f>
        <v>10</v>
      </c>
      <c r="AB56" s="585" t="s">
        <v>412</v>
      </c>
      <c r="AC56" s="569">
        <f>+VLOOKUP(AB56,Listados!$K$8:$L$12,2,0)</f>
        <v>1</v>
      </c>
      <c r="AD56" s="569" t="str">
        <f>++IF(OR(AA56=0),"",IF(OR(AA56=1,AA56&lt;=5),"Moderado",IF(OR(AA56=6,AA56&lt;=11),"Mayor",IF(OR(AA56&gt;=12),"Catastrófico",""))))</f>
        <v>Mayor</v>
      </c>
      <c r="AE56" s="569">
        <f>+VLOOKUP(AD56,Listados!$K$13:$L$17,2,0)</f>
        <v>4</v>
      </c>
      <c r="AF56" s="569" t="str">
        <f>IF(AND(AB56&lt;&gt;"",AD56&lt;&gt;""),VLOOKUP(AB56&amp;AD56,[3]Listados!$M$3:$N$27,2,FALSE),"")</f>
        <v>Alto</v>
      </c>
      <c r="AG56" s="162" t="s">
        <v>1060</v>
      </c>
      <c r="AH56" s="117" t="s">
        <v>1058</v>
      </c>
      <c r="AI56" s="115" t="s">
        <v>72</v>
      </c>
      <c r="AJ56" s="115" t="s">
        <v>73</v>
      </c>
      <c r="AK56" s="93">
        <f>+IF(AJ56="si",15,"0")</f>
        <v>15</v>
      </c>
      <c r="AL56" s="115" t="s">
        <v>73</v>
      </c>
      <c r="AM56" s="93">
        <f>+IF(AL56="si",15,"0")</f>
        <v>15</v>
      </c>
      <c r="AN56" s="115" t="s">
        <v>73</v>
      </c>
      <c r="AO56" s="93">
        <f>+IF(AN56="si",15,"0")</f>
        <v>15</v>
      </c>
      <c r="AP56" s="115" t="s">
        <v>72</v>
      </c>
      <c r="AQ56" s="93">
        <f>+IF(AP56="Preventivo",15,IF(AP56="Detectivo",10,"0"))</f>
        <v>15</v>
      </c>
      <c r="AR56" s="94" t="s">
        <v>73</v>
      </c>
      <c r="AS56" s="93">
        <f>+IF(AR56="si",15,"0")</f>
        <v>15</v>
      </c>
      <c r="AT56" s="94" t="s">
        <v>73</v>
      </c>
      <c r="AU56" s="93">
        <f>+IF(AT56="si",15,"0")</f>
        <v>15</v>
      </c>
      <c r="AV56" s="115" t="s">
        <v>74</v>
      </c>
      <c r="AW56" s="93">
        <f>+IF(AV56="Completa",10,IF(AV56="Incompleta",5,"0"))</f>
        <v>10</v>
      </c>
      <c r="AX56" s="119">
        <f t="shared" si="21"/>
        <v>100</v>
      </c>
      <c r="AY56" s="119" t="str">
        <f t="shared" si="22"/>
        <v>Fuerte</v>
      </c>
      <c r="AZ56" s="118" t="s">
        <v>75</v>
      </c>
      <c r="BA56" s="119" t="str">
        <f t="shared" si="23"/>
        <v>Fuerte</v>
      </c>
      <c r="BB56" s="119" t="str">
        <f>IFERROR(VLOOKUP((CONCATENATE(AY56,BA56)),Listados!$U$3:$V$11,2,FALSE),"")</f>
        <v>Fuerte</v>
      </c>
      <c r="BC56" s="119">
        <f t="shared" si="24"/>
        <v>100</v>
      </c>
      <c r="BD56" s="566">
        <f>AVERAGE(BC56:BC59)</f>
        <v>66.666666666666671</v>
      </c>
      <c r="BE56" s="566" t="str">
        <f>IF(BD56&lt;=50,"Débil",IF(BD56&lt;=99,"Moderado",IF(BD56=100,"fuerte","")))</f>
        <v>Moderado</v>
      </c>
      <c r="BF56" s="566">
        <f>+IF(AND(AI56="Preventivo",BE56="Fuerte"),2,IF(AND(AI56="Preventivo",BE56="Moderado"),1,0))</f>
        <v>1</v>
      </c>
      <c r="BG56" s="566">
        <f>+AC56-BF56</f>
        <v>0</v>
      </c>
      <c r="BH56" s="632" t="str">
        <f>+VLOOKUP(MIN(BG56),Listados!$J$18:$K$24,2,TRUE)</f>
        <v>Rara Vez</v>
      </c>
      <c r="BI56" s="632" t="str">
        <f>AD56</f>
        <v>Mayor</v>
      </c>
      <c r="BJ56" s="632" t="str">
        <f>IF(AND(BH56&lt;&gt;"",BI56&lt;&gt;""),VLOOKUP(BH56&amp;BI56,Listados!$M$3:$N$27,2,FALSE),"")</f>
        <v>Alto</v>
      </c>
      <c r="BK56" s="632" t="str">
        <f>+VLOOKUP(BJ56,Listados!$P$3:$Q$6,2,FALSE)</f>
        <v>Reducir el riesgo</v>
      </c>
      <c r="BL56" s="866" t="s">
        <v>812</v>
      </c>
      <c r="BM56" s="789" t="s">
        <v>813</v>
      </c>
      <c r="BN56" s="98">
        <v>45658</v>
      </c>
      <c r="BO56" s="99">
        <v>46022</v>
      </c>
      <c r="BP56" s="789" t="s">
        <v>1061</v>
      </c>
      <c r="BQ56" s="789" t="s">
        <v>829</v>
      </c>
      <c r="BR56" s="866" t="s">
        <v>1062</v>
      </c>
      <c r="BS56" s="789"/>
      <c r="BT56" s="846"/>
      <c r="BU56" s="933"/>
      <c r="BV56" s="846"/>
      <c r="BW56" s="650"/>
    </row>
    <row r="57" spans="1:75" ht="104.25" customHeight="1" thickBot="1">
      <c r="A57" s="915"/>
      <c r="B57" s="580"/>
      <c r="C57" s="582"/>
      <c r="D57" s="580"/>
      <c r="E57" s="363" t="s">
        <v>1063</v>
      </c>
      <c r="F57" s="395" t="s">
        <v>67</v>
      </c>
      <c r="G57" s="370" t="s">
        <v>1064</v>
      </c>
      <c r="H57" s="580"/>
      <c r="I57" s="580"/>
      <c r="J57" s="580"/>
      <c r="K57" s="580"/>
      <c r="L57" s="580"/>
      <c r="M57" s="580"/>
      <c r="N57" s="580"/>
      <c r="O57" s="580"/>
      <c r="P57" s="580"/>
      <c r="Q57" s="580"/>
      <c r="R57" s="580"/>
      <c r="S57" s="580"/>
      <c r="T57" s="580"/>
      <c r="U57" s="580"/>
      <c r="V57" s="580"/>
      <c r="W57" s="580"/>
      <c r="X57" s="580"/>
      <c r="Y57" s="580"/>
      <c r="Z57" s="580"/>
      <c r="AA57" s="582"/>
      <c r="AB57" s="573"/>
      <c r="AC57" s="565"/>
      <c r="AD57" s="565"/>
      <c r="AE57" s="565"/>
      <c r="AF57" s="565"/>
      <c r="AG57" s="162" t="s">
        <v>1065</v>
      </c>
      <c r="AH57" s="80" t="s">
        <v>1063</v>
      </c>
      <c r="AI57" s="348" t="s">
        <v>83</v>
      </c>
      <c r="AJ57" s="348" t="s">
        <v>73</v>
      </c>
      <c r="AK57" s="333">
        <f t="shared" si="0"/>
        <v>15</v>
      </c>
      <c r="AL57" s="348" t="s">
        <v>73</v>
      </c>
      <c r="AM57" s="333">
        <f t="shared" si="1"/>
        <v>15</v>
      </c>
      <c r="AN57" s="55" t="s">
        <v>73</v>
      </c>
      <c r="AO57" s="333">
        <f t="shared" si="6"/>
        <v>15</v>
      </c>
      <c r="AP57" s="348" t="s">
        <v>83</v>
      </c>
      <c r="AQ57" s="333">
        <f t="shared" si="2"/>
        <v>10</v>
      </c>
      <c r="AR57" s="332" t="s">
        <v>73</v>
      </c>
      <c r="AS57" s="333">
        <f t="shared" si="3"/>
        <v>15</v>
      </c>
      <c r="AT57" s="332" t="s">
        <v>73</v>
      </c>
      <c r="AU57" s="333">
        <f t="shared" si="4"/>
        <v>15</v>
      </c>
      <c r="AV57" s="55" t="s">
        <v>74</v>
      </c>
      <c r="AW57" s="333">
        <f t="shared" si="5"/>
        <v>10</v>
      </c>
      <c r="AX57" s="81">
        <f t="shared" si="21"/>
        <v>95</v>
      </c>
      <c r="AY57" s="81" t="str">
        <f t="shared" si="22"/>
        <v>Moderado</v>
      </c>
      <c r="AZ57" s="82" t="s">
        <v>75</v>
      </c>
      <c r="BA57" s="81" t="str">
        <f t="shared" si="23"/>
        <v>Fuerte</v>
      </c>
      <c r="BB57" s="81" t="str">
        <f>IFERROR(VLOOKUP((CONCATENATE(AY57,BA57)),Listados!$U$3:$V$11,2,FALSE),"")</f>
        <v>Moderado</v>
      </c>
      <c r="BC57" s="81">
        <f t="shared" si="24"/>
        <v>50</v>
      </c>
      <c r="BD57" s="567"/>
      <c r="BE57" s="567"/>
      <c r="BF57" s="567"/>
      <c r="BG57" s="567"/>
      <c r="BH57" s="582"/>
      <c r="BI57" s="582"/>
      <c r="BJ57" s="582"/>
      <c r="BK57" s="582"/>
      <c r="BL57" s="867"/>
      <c r="BM57" s="790"/>
      <c r="BN57" s="77">
        <v>45658</v>
      </c>
      <c r="BO57" s="78">
        <v>46022</v>
      </c>
      <c r="BP57" s="790"/>
      <c r="BQ57" s="790"/>
      <c r="BR57" s="867"/>
      <c r="BS57" s="790"/>
      <c r="BT57" s="779"/>
      <c r="BU57" s="848"/>
      <c r="BV57" s="779"/>
      <c r="BW57" s="651"/>
    </row>
    <row r="58" spans="1:75" ht="101.25" customHeight="1">
      <c r="A58" s="915"/>
      <c r="B58" s="580"/>
      <c r="C58" s="582"/>
      <c r="D58" s="580"/>
      <c r="E58" s="363" t="s">
        <v>1066</v>
      </c>
      <c r="F58" s="395" t="s">
        <v>67</v>
      </c>
      <c r="G58" s="370" t="s">
        <v>1067</v>
      </c>
      <c r="H58" s="580"/>
      <c r="I58" s="580"/>
      <c r="J58" s="580"/>
      <c r="K58" s="580"/>
      <c r="L58" s="580"/>
      <c r="M58" s="580"/>
      <c r="N58" s="580"/>
      <c r="O58" s="580"/>
      <c r="P58" s="580"/>
      <c r="Q58" s="580"/>
      <c r="R58" s="580"/>
      <c r="S58" s="580"/>
      <c r="T58" s="580"/>
      <c r="U58" s="580"/>
      <c r="V58" s="580"/>
      <c r="W58" s="580"/>
      <c r="X58" s="580"/>
      <c r="Y58" s="580"/>
      <c r="Z58" s="580"/>
      <c r="AA58" s="582"/>
      <c r="AB58" s="573"/>
      <c r="AC58" s="565"/>
      <c r="AD58" s="565"/>
      <c r="AE58" s="565"/>
      <c r="AF58" s="565"/>
      <c r="AG58" s="162" t="s">
        <v>1065</v>
      </c>
      <c r="AH58" s="80" t="s">
        <v>1066</v>
      </c>
      <c r="AI58" s="348" t="s">
        <v>83</v>
      </c>
      <c r="AJ58" s="348" t="s">
        <v>73</v>
      </c>
      <c r="AK58" s="333">
        <f t="shared" si="0"/>
        <v>15</v>
      </c>
      <c r="AL58" s="348" t="s">
        <v>73</v>
      </c>
      <c r="AM58" s="333">
        <f t="shared" si="1"/>
        <v>15</v>
      </c>
      <c r="AN58" s="55" t="s">
        <v>73</v>
      </c>
      <c r="AO58" s="333">
        <f t="shared" si="6"/>
        <v>15</v>
      </c>
      <c r="AP58" s="348" t="s">
        <v>83</v>
      </c>
      <c r="AQ58" s="333">
        <f t="shared" si="2"/>
        <v>10</v>
      </c>
      <c r="AR58" s="332" t="s">
        <v>73</v>
      </c>
      <c r="AS58" s="333">
        <f t="shared" si="3"/>
        <v>15</v>
      </c>
      <c r="AT58" s="332" t="s">
        <v>73</v>
      </c>
      <c r="AU58" s="333">
        <f t="shared" si="4"/>
        <v>15</v>
      </c>
      <c r="AV58" s="55" t="s">
        <v>74</v>
      </c>
      <c r="AW58" s="333">
        <f t="shared" si="5"/>
        <v>10</v>
      </c>
      <c r="AX58" s="81">
        <f t="shared" si="21"/>
        <v>95</v>
      </c>
      <c r="AY58" s="81" t="str">
        <f t="shared" si="22"/>
        <v>Moderado</v>
      </c>
      <c r="AZ58" s="82" t="s">
        <v>75</v>
      </c>
      <c r="BA58" s="81" t="str">
        <f t="shared" si="23"/>
        <v>Fuerte</v>
      </c>
      <c r="BB58" s="81" t="str">
        <f>IFERROR(VLOOKUP((CONCATENATE(AY58,BA58)),Listados!$U$3:$V$11,2,FALSE),"")</f>
        <v>Moderado</v>
      </c>
      <c r="BC58" s="81">
        <f t="shared" si="24"/>
        <v>50</v>
      </c>
      <c r="BD58" s="567"/>
      <c r="BE58" s="567"/>
      <c r="BF58" s="567"/>
      <c r="BG58" s="567"/>
      <c r="BH58" s="582"/>
      <c r="BI58" s="582"/>
      <c r="BJ58" s="582"/>
      <c r="BK58" s="582"/>
      <c r="BL58" s="867"/>
      <c r="BM58" s="790"/>
      <c r="BN58" s="77">
        <v>45658</v>
      </c>
      <c r="BO58" s="78">
        <v>46022</v>
      </c>
      <c r="BP58" s="790"/>
      <c r="BQ58" s="790"/>
      <c r="BR58" s="867"/>
      <c r="BS58" s="790"/>
      <c r="BT58" s="779"/>
      <c r="BU58" s="848"/>
      <c r="BV58" s="779"/>
      <c r="BW58" s="651"/>
    </row>
    <row r="59" spans="1:75" ht="26.25" thickBot="1">
      <c r="A59" s="916"/>
      <c r="B59" s="581"/>
      <c r="C59" s="583"/>
      <c r="D59" s="581"/>
      <c r="E59" s="273"/>
      <c r="F59" s="296"/>
      <c r="G59" s="291" t="s">
        <v>1068</v>
      </c>
      <c r="H59" s="581"/>
      <c r="I59" s="581"/>
      <c r="J59" s="581"/>
      <c r="K59" s="581"/>
      <c r="L59" s="581"/>
      <c r="M59" s="581"/>
      <c r="N59" s="581"/>
      <c r="O59" s="581"/>
      <c r="P59" s="581"/>
      <c r="Q59" s="581"/>
      <c r="R59" s="581"/>
      <c r="S59" s="581"/>
      <c r="T59" s="581"/>
      <c r="U59" s="581"/>
      <c r="V59" s="581"/>
      <c r="W59" s="581"/>
      <c r="X59" s="581"/>
      <c r="Y59" s="581"/>
      <c r="Z59" s="581"/>
      <c r="AA59" s="583"/>
      <c r="AB59" s="587"/>
      <c r="AC59" s="570"/>
      <c r="AD59" s="570"/>
      <c r="AE59" s="570"/>
      <c r="AF59" s="570"/>
      <c r="AG59" s="280"/>
      <c r="AH59" s="125"/>
      <c r="AI59" s="269"/>
      <c r="AJ59" s="269"/>
      <c r="AK59" s="261" t="str">
        <f t="shared" si="0"/>
        <v>0</v>
      </c>
      <c r="AL59" s="269"/>
      <c r="AM59" s="261" t="str">
        <f t="shared" si="1"/>
        <v>0</v>
      </c>
      <c r="AN59" s="126"/>
      <c r="AO59" s="261" t="str">
        <f t="shared" si="6"/>
        <v>0</v>
      </c>
      <c r="AP59" s="269"/>
      <c r="AQ59" s="261" t="str">
        <f t="shared" si="2"/>
        <v>0</v>
      </c>
      <c r="AR59" s="269"/>
      <c r="AS59" s="261" t="str">
        <f t="shared" si="3"/>
        <v>0</v>
      </c>
      <c r="AT59" s="269"/>
      <c r="AU59" s="261" t="str">
        <f t="shared" si="4"/>
        <v>0</v>
      </c>
      <c r="AV59" s="126"/>
      <c r="AW59" s="261" t="str">
        <f t="shared" si="5"/>
        <v>0</v>
      </c>
      <c r="AX59" s="132" t="str">
        <f t="shared" si="21"/>
        <v/>
      </c>
      <c r="AY59" s="132" t="str">
        <f t="shared" si="22"/>
        <v/>
      </c>
      <c r="AZ59" s="140"/>
      <c r="BA59" s="132" t="str">
        <f t="shared" si="23"/>
        <v/>
      </c>
      <c r="BB59" s="132" t="str">
        <f>IFERROR(VLOOKUP((CONCATENATE(AY59,BA59)),Listados!$U$3:$V$11,2,FALSE),"")</f>
        <v/>
      </c>
      <c r="BC59" s="132" t="str">
        <f t="shared" si="24"/>
        <v/>
      </c>
      <c r="BD59" s="568"/>
      <c r="BE59" s="568"/>
      <c r="BF59" s="568"/>
      <c r="BG59" s="568"/>
      <c r="BH59" s="583"/>
      <c r="BI59" s="583"/>
      <c r="BJ59" s="583"/>
      <c r="BK59" s="583"/>
      <c r="BL59" s="868"/>
      <c r="BM59" s="791"/>
      <c r="BN59" s="250"/>
      <c r="BO59" s="250"/>
      <c r="BP59" s="791"/>
      <c r="BQ59" s="791"/>
      <c r="BR59" s="868"/>
      <c r="BS59" s="791"/>
      <c r="BT59" s="847"/>
      <c r="BU59" s="934"/>
      <c r="BV59" s="847"/>
      <c r="BW59" s="652"/>
    </row>
    <row r="60" spans="1:75">
      <c r="A60" s="927">
        <v>14</v>
      </c>
      <c r="B60" s="580"/>
      <c r="C60" s="582"/>
      <c r="D60" s="580"/>
      <c r="E60" s="28"/>
      <c r="F60" s="79"/>
      <c r="G60" s="55"/>
      <c r="H60" s="580"/>
      <c r="I60" s="580"/>
      <c r="J60" s="580"/>
      <c r="K60" s="580"/>
      <c r="L60" s="580"/>
      <c r="M60" s="580"/>
      <c r="N60" s="580"/>
      <c r="O60" s="580"/>
      <c r="P60" s="580"/>
      <c r="Q60" s="580"/>
      <c r="R60" s="580"/>
      <c r="S60" s="580"/>
      <c r="T60" s="580"/>
      <c r="U60" s="580"/>
      <c r="V60" s="580"/>
      <c r="W60" s="580"/>
      <c r="X60" s="580"/>
      <c r="Y60" s="580"/>
      <c r="Z60" s="580"/>
      <c r="AA60" s="582">
        <f>COUNTIF(H60:Z60, "SI")</f>
        <v>0</v>
      </c>
      <c r="AB60" s="555"/>
      <c r="AC60" s="557" t="e">
        <f>+VLOOKUP(AB60,Listados!$K$8:$L$12,2,0)</f>
        <v>#N/A</v>
      </c>
      <c r="AD60" s="557" t="str">
        <f>++IF(OR(AA60=0),"",IF(OR(AA60=1,AA60&lt;=5),"Moderado",IF(OR(AA60=6,AA60&lt;=11),"Mayor",IF(OR(AA60&gt;=12),"Catastrófico",""))))</f>
        <v/>
      </c>
      <c r="AE60" s="557" t="e">
        <f>+VLOOKUP(AD60,Listados!$K$13:$L$17,2,0)</f>
        <v>#N/A</v>
      </c>
      <c r="AF60" s="557" t="str">
        <f>IF(AND(AB60&lt;&gt;"",AD60&lt;&gt;""),VLOOKUP(AB60&amp;AD60,[3]Listados!$M$3:$N$27,2,FALSE),"")</f>
        <v/>
      </c>
      <c r="AG60" s="207"/>
      <c r="AH60" s="80"/>
      <c r="AI60" s="55"/>
      <c r="AJ60" s="55"/>
      <c r="AK60" s="53" t="str">
        <f>+IF(AJ60="si",15,"0")</f>
        <v>0</v>
      </c>
      <c r="AL60" s="55"/>
      <c r="AM60" s="53" t="str">
        <f>+IF(AL60="si",15,"0")</f>
        <v>0</v>
      </c>
      <c r="AN60" s="55"/>
      <c r="AO60" s="53" t="str">
        <f>+IF(AN60="si",15,"0")</f>
        <v>0</v>
      </c>
      <c r="AP60" s="55"/>
      <c r="AQ60" s="53" t="str">
        <f>+IF(AP60="Preventivo",15,IF(AP60="Detectivo",10,"0"))</f>
        <v>0</v>
      </c>
      <c r="AR60" s="55"/>
      <c r="AS60" s="53" t="str">
        <f>+IF(AR60="si",15,"0")</f>
        <v>0</v>
      </c>
      <c r="AT60" s="55"/>
      <c r="AU60" s="53" t="str">
        <f>+IF(AT60="si",15,"0")</f>
        <v>0</v>
      </c>
      <c r="AV60" s="55"/>
      <c r="AW60" s="53" t="str">
        <f>+IF(AV60="Completa",10,IF(AV60="Incompleta",5,"0"))</f>
        <v>0</v>
      </c>
      <c r="AX60" s="81" t="str">
        <f t="shared" ref="AX60:AX91" si="25">IF((SUM(AK60,AM60,AO60,AQ60,AS60,AU60,AW60)=0),"",(SUM(AK60,AM60,AO60,AQ60,AS60,AU60,AW60)))</f>
        <v/>
      </c>
      <c r="AY60" s="81" t="str">
        <f t="shared" ref="AY60:AY91" si="26">IF(AX60&lt;=85,"Débil",IF(AX60&lt;=95,"Moderado",IF(AX60=100,"Fuerte","")))</f>
        <v/>
      </c>
      <c r="AZ60" s="82"/>
      <c r="BA60" s="81" t="str">
        <f t="shared" si="23"/>
        <v/>
      </c>
      <c r="BB60" s="81" t="str">
        <f>IFERROR(VLOOKUP((CONCATENATE(AY60,BA60)),Listados!$U$3:$V$11,2,FALSE),"")</f>
        <v/>
      </c>
      <c r="BC60" s="81" t="str">
        <f t="shared" si="24"/>
        <v/>
      </c>
      <c r="BD60" s="567" t="e">
        <f>AVERAGE(BC60:BC63)</f>
        <v>#DIV/0!</v>
      </c>
      <c r="BE60" s="567" t="e">
        <f>IF(BD60&lt;=50,"Débil",IF(BD60&lt;=99,"Moderado",IF(BD60=100,"fuerte","")))</f>
        <v>#DIV/0!</v>
      </c>
      <c r="BF60" s="567" t="e">
        <f>+IF(AND(AI60="Preventivo",BE60="Fuerte"),2,IF(AND(AI60="Preventivo",BE60="Moderado"),1,0))</f>
        <v>#DIV/0!</v>
      </c>
      <c r="BG60" s="567" t="e">
        <f>+AC60-BF60</f>
        <v>#N/A</v>
      </c>
      <c r="BH60" s="582" t="e">
        <f>+VLOOKUP(MIN(BG60),Listados!$J$18:$K$24,2,TRUE)</f>
        <v>#N/A</v>
      </c>
      <c r="BI60" s="582" t="str">
        <f>AD60</f>
        <v/>
      </c>
      <c r="BJ60" s="582" t="e">
        <f>IF(AND(BH60&lt;&gt;"",BI60&lt;&gt;""),VLOOKUP(BH60&amp;BI60,Listados!$M$3:$N$27,2,FALSE),"")</f>
        <v>#N/A</v>
      </c>
      <c r="BK60" s="582" t="e">
        <f>+VLOOKUP(BJ60,Listados!$P$3:$Q$6,2,FALSE)</f>
        <v>#N/A</v>
      </c>
      <c r="BL60" s="76"/>
      <c r="BM60" s="76"/>
      <c r="BN60" s="77"/>
      <c r="BO60" s="78"/>
      <c r="BP60" s="76"/>
      <c r="BQ60" s="76"/>
      <c r="BR60" s="790"/>
      <c r="BS60" s="790"/>
      <c r="BT60" s="779"/>
      <c r="BU60" s="848"/>
      <c r="BV60" s="779"/>
      <c r="BW60" s="779"/>
    </row>
    <row r="61" spans="1:75">
      <c r="A61" s="927"/>
      <c r="B61" s="580"/>
      <c r="C61" s="582"/>
      <c r="D61" s="580"/>
      <c r="E61" s="375"/>
      <c r="F61" s="388"/>
      <c r="G61" s="348"/>
      <c r="H61" s="580"/>
      <c r="I61" s="580"/>
      <c r="J61" s="580"/>
      <c r="K61" s="580"/>
      <c r="L61" s="580"/>
      <c r="M61" s="580"/>
      <c r="N61" s="580"/>
      <c r="O61" s="580"/>
      <c r="P61" s="580"/>
      <c r="Q61" s="580"/>
      <c r="R61" s="580"/>
      <c r="S61" s="580"/>
      <c r="T61" s="580"/>
      <c r="U61" s="580"/>
      <c r="V61" s="580"/>
      <c r="W61" s="580"/>
      <c r="X61" s="580"/>
      <c r="Y61" s="580"/>
      <c r="Z61" s="580"/>
      <c r="AA61" s="582"/>
      <c r="AB61" s="573"/>
      <c r="AC61" s="565"/>
      <c r="AD61" s="565"/>
      <c r="AE61" s="565"/>
      <c r="AF61" s="565"/>
      <c r="AG61" s="376"/>
      <c r="AH61" s="386"/>
      <c r="AI61" s="348"/>
      <c r="AJ61" s="348"/>
      <c r="AK61" s="333" t="str">
        <f t="shared" si="0"/>
        <v>0</v>
      </c>
      <c r="AL61" s="348"/>
      <c r="AM61" s="333" t="str">
        <f t="shared" si="1"/>
        <v>0</v>
      </c>
      <c r="AN61" s="55"/>
      <c r="AO61" s="333" t="str">
        <f t="shared" si="6"/>
        <v>0</v>
      </c>
      <c r="AP61" s="348"/>
      <c r="AQ61" s="333" t="str">
        <f t="shared" si="2"/>
        <v>0</v>
      </c>
      <c r="AR61" s="348"/>
      <c r="AS61" s="333" t="str">
        <f t="shared" si="3"/>
        <v>0</v>
      </c>
      <c r="AT61" s="348"/>
      <c r="AU61" s="333" t="str">
        <f t="shared" si="4"/>
        <v>0</v>
      </c>
      <c r="AV61" s="55"/>
      <c r="AW61" s="333" t="str">
        <f t="shared" si="5"/>
        <v>0</v>
      </c>
      <c r="AX61" s="81" t="str">
        <f t="shared" si="25"/>
        <v/>
      </c>
      <c r="AY61" s="81" t="str">
        <f t="shared" si="26"/>
        <v/>
      </c>
      <c r="AZ61" s="82"/>
      <c r="BA61" s="81" t="str">
        <f t="shared" si="23"/>
        <v/>
      </c>
      <c r="BB61" s="81" t="str">
        <f>IFERROR(VLOOKUP((CONCATENATE(AY61,BA61)),Listados!$U$3:$V$11,2,FALSE),"")</f>
        <v/>
      </c>
      <c r="BC61" s="81" t="str">
        <f t="shared" si="24"/>
        <v/>
      </c>
      <c r="BD61" s="567"/>
      <c r="BE61" s="567"/>
      <c r="BF61" s="567"/>
      <c r="BG61" s="567"/>
      <c r="BH61" s="582"/>
      <c r="BI61" s="582"/>
      <c r="BJ61" s="582"/>
      <c r="BK61" s="582"/>
      <c r="BL61" s="336"/>
      <c r="BM61" s="336"/>
      <c r="BN61" s="336"/>
      <c r="BO61" s="336"/>
      <c r="BP61" s="336"/>
      <c r="BQ61" s="336"/>
      <c r="BR61" s="790"/>
      <c r="BS61" s="790"/>
      <c r="BT61" s="779"/>
      <c r="BU61" s="848"/>
      <c r="BV61" s="779"/>
      <c r="BW61" s="779"/>
    </row>
    <row r="62" spans="1:75">
      <c r="A62" s="927"/>
      <c r="B62" s="580"/>
      <c r="C62" s="582"/>
      <c r="D62" s="580"/>
      <c r="E62" s="375"/>
      <c r="F62" s="388"/>
      <c r="G62" s="348"/>
      <c r="H62" s="580"/>
      <c r="I62" s="580"/>
      <c r="J62" s="580"/>
      <c r="K62" s="580"/>
      <c r="L62" s="580"/>
      <c r="M62" s="580"/>
      <c r="N62" s="580"/>
      <c r="O62" s="580"/>
      <c r="P62" s="580"/>
      <c r="Q62" s="580"/>
      <c r="R62" s="580"/>
      <c r="S62" s="580"/>
      <c r="T62" s="580"/>
      <c r="U62" s="580"/>
      <c r="V62" s="580"/>
      <c r="W62" s="580"/>
      <c r="X62" s="580"/>
      <c r="Y62" s="580"/>
      <c r="Z62" s="580"/>
      <c r="AA62" s="582"/>
      <c r="AB62" s="573"/>
      <c r="AC62" s="565"/>
      <c r="AD62" s="565"/>
      <c r="AE62" s="565"/>
      <c r="AF62" s="565"/>
      <c r="AG62" s="376"/>
      <c r="AH62" s="347"/>
      <c r="AI62" s="348"/>
      <c r="AJ62" s="348"/>
      <c r="AK62" s="333" t="str">
        <f t="shared" si="0"/>
        <v>0</v>
      </c>
      <c r="AL62" s="348"/>
      <c r="AM62" s="333" t="str">
        <f t="shared" si="1"/>
        <v>0</v>
      </c>
      <c r="AN62" s="55"/>
      <c r="AO62" s="333" t="str">
        <f t="shared" si="6"/>
        <v>0</v>
      </c>
      <c r="AP62" s="348"/>
      <c r="AQ62" s="333" t="str">
        <f t="shared" si="2"/>
        <v>0</v>
      </c>
      <c r="AR62" s="348"/>
      <c r="AS62" s="333" t="str">
        <f t="shared" si="3"/>
        <v>0</v>
      </c>
      <c r="AT62" s="348"/>
      <c r="AU62" s="333" t="str">
        <f t="shared" si="4"/>
        <v>0</v>
      </c>
      <c r="AV62" s="55"/>
      <c r="AW62" s="333" t="str">
        <f t="shared" si="5"/>
        <v>0</v>
      </c>
      <c r="AX62" s="81" t="str">
        <f t="shared" si="25"/>
        <v/>
      </c>
      <c r="AY62" s="81" t="str">
        <f t="shared" si="26"/>
        <v/>
      </c>
      <c r="AZ62" s="82"/>
      <c r="BA62" s="81" t="str">
        <f t="shared" si="23"/>
        <v/>
      </c>
      <c r="BB62" s="81" t="str">
        <f>IFERROR(VLOOKUP((CONCATENATE(AY62,BA62)),Listados!$U$3:$V$11,2,FALSE),"")</f>
        <v/>
      </c>
      <c r="BC62" s="81" t="str">
        <f t="shared" si="24"/>
        <v/>
      </c>
      <c r="BD62" s="567"/>
      <c r="BE62" s="567"/>
      <c r="BF62" s="567"/>
      <c r="BG62" s="567"/>
      <c r="BH62" s="582"/>
      <c r="BI62" s="582"/>
      <c r="BJ62" s="582"/>
      <c r="BK62" s="582"/>
      <c r="BL62" s="336"/>
      <c r="BM62" s="336"/>
      <c r="BN62" s="339"/>
      <c r="BO62" s="339"/>
      <c r="BP62" s="336"/>
      <c r="BQ62" s="336"/>
      <c r="BR62" s="790"/>
      <c r="BS62" s="790"/>
      <c r="BT62" s="779"/>
      <c r="BU62" s="848"/>
      <c r="BV62" s="779"/>
      <c r="BW62" s="779"/>
    </row>
    <row r="63" spans="1:75">
      <c r="A63" s="928"/>
      <c r="B63" s="555"/>
      <c r="C63" s="557"/>
      <c r="D63" s="555"/>
      <c r="E63" s="375"/>
      <c r="F63" s="388"/>
      <c r="G63" s="348"/>
      <c r="H63" s="555"/>
      <c r="I63" s="555"/>
      <c r="J63" s="555"/>
      <c r="K63" s="555"/>
      <c r="L63" s="555"/>
      <c r="M63" s="555"/>
      <c r="N63" s="555"/>
      <c r="O63" s="555"/>
      <c r="P63" s="555"/>
      <c r="Q63" s="555"/>
      <c r="R63" s="555"/>
      <c r="S63" s="555"/>
      <c r="T63" s="555"/>
      <c r="U63" s="555"/>
      <c r="V63" s="555"/>
      <c r="W63" s="555"/>
      <c r="X63" s="555"/>
      <c r="Y63" s="555"/>
      <c r="Z63" s="555"/>
      <c r="AA63" s="557"/>
      <c r="AB63" s="573"/>
      <c r="AC63" s="565"/>
      <c r="AD63" s="565"/>
      <c r="AE63" s="565"/>
      <c r="AF63" s="565"/>
      <c r="AG63" s="376"/>
      <c r="AH63" s="347"/>
      <c r="AI63" s="348"/>
      <c r="AJ63" s="348"/>
      <c r="AK63" s="333" t="str">
        <f t="shared" si="0"/>
        <v>0</v>
      </c>
      <c r="AL63" s="348"/>
      <c r="AM63" s="333" t="str">
        <f t="shared" si="1"/>
        <v>0</v>
      </c>
      <c r="AN63" s="55"/>
      <c r="AO63" s="333" t="str">
        <f t="shared" si="6"/>
        <v>0</v>
      </c>
      <c r="AP63" s="348"/>
      <c r="AQ63" s="333" t="str">
        <f t="shared" si="2"/>
        <v>0</v>
      </c>
      <c r="AR63" s="348"/>
      <c r="AS63" s="333" t="str">
        <f t="shared" si="3"/>
        <v>0</v>
      </c>
      <c r="AT63" s="348"/>
      <c r="AU63" s="333" t="str">
        <f t="shared" si="4"/>
        <v>0</v>
      </c>
      <c r="AV63" s="55"/>
      <c r="AW63" s="333" t="str">
        <f t="shared" si="5"/>
        <v>0</v>
      </c>
      <c r="AX63" s="81" t="str">
        <f t="shared" si="25"/>
        <v/>
      </c>
      <c r="AY63" s="81" t="str">
        <f t="shared" si="26"/>
        <v/>
      </c>
      <c r="AZ63" s="82"/>
      <c r="BA63" s="81" t="str">
        <f t="shared" si="23"/>
        <v/>
      </c>
      <c r="BB63" s="81" t="str">
        <f>IFERROR(VLOOKUP((CONCATENATE(AY63,BA63)),Listados!$U$3:$V$11,2,FALSE),"")</f>
        <v/>
      </c>
      <c r="BC63" s="81" t="str">
        <f t="shared" si="24"/>
        <v/>
      </c>
      <c r="BD63" s="564"/>
      <c r="BE63" s="564"/>
      <c r="BF63" s="564"/>
      <c r="BG63" s="564"/>
      <c r="BH63" s="557"/>
      <c r="BI63" s="557"/>
      <c r="BJ63" s="557"/>
      <c r="BK63" s="557"/>
      <c r="BL63" s="336"/>
      <c r="BM63" s="336"/>
      <c r="BN63" s="339"/>
      <c r="BO63" s="339"/>
      <c r="BP63" s="336"/>
      <c r="BQ63" s="336"/>
      <c r="BR63" s="825"/>
      <c r="BS63" s="825"/>
      <c r="BT63" s="780"/>
      <c r="BU63" s="849"/>
      <c r="BV63" s="780"/>
      <c r="BW63" s="780"/>
    </row>
    <row r="64" spans="1:75">
      <c r="A64" s="929">
        <v>15</v>
      </c>
      <c r="B64" s="554"/>
      <c r="C64" s="556"/>
      <c r="D64" s="554"/>
      <c r="E64" s="375"/>
      <c r="F64" s="388"/>
      <c r="G64" s="348"/>
      <c r="H64" s="554"/>
      <c r="I64" s="554"/>
      <c r="J64" s="554"/>
      <c r="K64" s="554"/>
      <c r="L64" s="554"/>
      <c r="M64" s="554"/>
      <c r="N64" s="554"/>
      <c r="O64" s="554"/>
      <c r="P64" s="554"/>
      <c r="Q64" s="554"/>
      <c r="R64" s="554"/>
      <c r="S64" s="554"/>
      <c r="T64" s="554"/>
      <c r="U64" s="554"/>
      <c r="V64" s="554"/>
      <c r="W64" s="554"/>
      <c r="X64" s="554"/>
      <c r="Y64" s="554"/>
      <c r="Z64" s="554"/>
      <c r="AA64" s="556">
        <f>COUNTIF(H64:Z64, "SI")</f>
        <v>0</v>
      </c>
      <c r="AB64" s="573"/>
      <c r="AC64" s="565" t="e">
        <f>+VLOOKUP(AB64,Listados!$K$8:$L$12,2,0)</f>
        <v>#N/A</v>
      </c>
      <c r="AD64" s="565" t="str">
        <f>++IF(OR(AA64=0),"",IF(OR(AA64=1,AA64&lt;=5),"Moderado",IF(OR(AA64=6,AA64&lt;=11),"Mayor",IF(OR(AA64&gt;=12),"Catastrófico",""))))</f>
        <v/>
      </c>
      <c r="AE64" s="565" t="e">
        <f>+VLOOKUP(AD64,Listados!$K$13:$L$17,2,0)</f>
        <v>#N/A</v>
      </c>
      <c r="AF64" s="565" t="str">
        <f>IF(AND(AB64&lt;&gt;"",AD64&lt;&gt;""),VLOOKUP(AB64&amp;AD64,[3]Listados!$M$3:$N$27,2,FALSE),"")</f>
        <v/>
      </c>
      <c r="AG64" s="376"/>
      <c r="AH64" s="386"/>
      <c r="AI64" s="348"/>
      <c r="AJ64" s="348"/>
      <c r="AK64" s="333" t="str">
        <f>+IF(AJ64="si",15,"0")</f>
        <v>0</v>
      </c>
      <c r="AL64" s="348"/>
      <c r="AM64" s="333" t="str">
        <f>+IF(AL64="si",15,"0")</f>
        <v>0</v>
      </c>
      <c r="AN64" s="55"/>
      <c r="AO64" s="333" t="str">
        <f>+IF(AN64="si",15,"0")</f>
        <v>0</v>
      </c>
      <c r="AP64" s="348"/>
      <c r="AQ64" s="333" t="str">
        <f>+IF(AP64="Preventivo",15,IF(AP64="Detectivo",10,"0"))</f>
        <v>0</v>
      </c>
      <c r="AR64" s="348"/>
      <c r="AS64" s="333" t="str">
        <f>+IF(AR64="si",15,"0")</f>
        <v>0</v>
      </c>
      <c r="AT64" s="348"/>
      <c r="AU64" s="333" t="str">
        <f>+IF(AT64="si",15,"0")</f>
        <v>0</v>
      </c>
      <c r="AV64" s="55"/>
      <c r="AW64" s="333" t="str">
        <f>+IF(AV64="Completa",10,IF(AV64="Incompleta",5,"0"))</f>
        <v>0</v>
      </c>
      <c r="AX64" s="81" t="str">
        <f t="shared" si="25"/>
        <v/>
      </c>
      <c r="AY64" s="81" t="str">
        <f t="shared" si="26"/>
        <v/>
      </c>
      <c r="AZ64" s="82"/>
      <c r="BA64" s="81" t="str">
        <f t="shared" si="23"/>
        <v/>
      </c>
      <c r="BB64" s="81" t="str">
        <f>IFERROR(VLOOKUP((CONCATENATE(AY64,BA64)),Listados!$U$3:$V$11,2,FALSE),"")</f>
        <v/>
      </c>
      <c r="BC64" s="81" t="str">
        <f t="shared" si="24"/>
        <v/>
      </c>
      <c r="BD64" s="563" t="e">
        <f>AVERAGE(BC64:BC67)</f>
        <v>#DIV/0!</v>
      </c>
      <c r="BE64" s="563" t="e">
        <f>IF(BD64&lt;=50,"Débil",IF(BD64&lt;=99,"Moderado",IF(BD64=100,"fuerte","")))</f>
        <v>#DIV/0!</v>
      </c>
      <c r="BF64" s="563" t="e">
        <f>+IF(AND(AI64="Preventivo",BE64="Fuerte"),2,IF(AND(AI64="Preventivo",BE64="Moderado"),1,0))</f>
        <v>#DIV/0!</v>
      </c>
      <c r="BG64" s="563" t="e">
        <f>+AC64-BF64</f>
        <v>#N/A</v>
      </c>
      <c r="BH64" s="556" t="e">
        <f>+VLOOKUP(MIN(BG64),Listados!$J$18:$K$24,2,TRUE)</f>
        <v>#N/A</v>
      </c>
      <c r="BI64" s="556" t="str">
        <f>AD64</f>
        <v/>
      </c>
      <c r="BJ64" s="556" t="e">
        <f>IF(AND(BH64&lt;&gt;"",BI64&lt;&gt;""),VLOOKUP(BH64&amp;BI64,Listados!$M$3:$N$27,2,FALSE),"")</f>
        <v>#N/A</v>
      </c>
      <c r="BK64" s="556" t="e">
        <f>+VLOOKUP(BJ64,Listados!$P$3:$Q$6,2,FALSE)</f>
        <v>#N/A</v>
      </c>
      <c r="BL64" s="336"/>
      <c r="BM64" s="336"/>
      <c r="BN64" s="339"/>
      <c r="BO64" s="361"/>
      <c r="BP64" s="336"/>
      <c r="BQ64" s="336"/>
      <c r="BR64" s="935"/>
      <c r="BS64" s="935"/>
      <c r="BT64" s="936"/>
      <c r="BU64" s="937"/>
      <c r="BV64" s="936"/>
      <c r="BW64" s="936"/>
    </row>
    <row r="65" spans="1:75">
      <c r="A65" s="927"/>
      <c r="B65" s="580"/>
      <c r="C65" s="582"/>
      <c r="D65" s="580"/>
      <c r="E65" s="375"/>
      <c r="F65" s="388"/>
      <c r="G65" s="348"/>
      <c r="H65" s="580"/>
      <c r="I65" s="580"/>
      <c r="J65" s="580"/>
      <c r="K65" s="580"/>
      <c r="L65" s="580"/>
      <c r="M65" s="580"/>
      <c r="N65" s="580"/>
      <c r="O65" s="580"/>
      <c r="P65" s="580"/>
      <c r="Q65" s="580"/>
      <c r="R65" s="580"/>
      <c r="S65" s="580"/>
      <c r="T65" s="580"/>
      <c r="U65" s="580"/>
      <c r="V65" s="580"/>
      <c r="W65" s="580"/>
      <c r="X65" s="580"/>
      <c r="Y65" s="580"/>
      <c r="Z65" s="580"/>
      <c r="AA65" s="582"/>
      <c r="AB65" s="573"/>
      <c r="AC65" s="565"/>
      <c r="AD65" s="565"/>
      <c r="AE65" s="565"/>
      <c r="AF65" s="565"/>
      <c r="AG65" s="376"/>
      <c r="AH65" s="386"/>
      <c r="AI65" s="348"/>
      <c r="AJ65" s="348"/>
      <c r="AK65" s="333" t="str">
        <f t="shared" si="0"/>
        <v>0</v>
      </c>
      <c r="AL65" s="348"/>
      <c r="AM65" s="333" t="str">
        <f t="shared" si="1"/>
        <v>0</v>
      </c>
      <c r="AN65" s="55"/>
      <c r="AO65" s="333" t="str">
        <f t="shared" si="6"/>
        <v>0</v>
      </c>
      <c r="AP65" s="348"/>
      <c r="AQ65" s="333" t="str">
        <f t="shared" si="2"/>
        <v>0</v>
      </c>
      <c r="AR65" s="348"/>
      <c r="AS65" s="333" t="str">
        <f t="shared" si="3"/>
        <v>0</v>
      </c>
      <c r="AT65" s="348"/>
      <c r="AU65" s="333" t="str">
        <f t="shared" si="4"/>
        <v>0</v>
      </c>
      <c r="AV65" s="55"/>
      <c r="AW65" s="333" t="str">
        <f t="shared" si="5"/>
        <v>0</v>
      </c>
      <c r="AX65" s="81" t="str">
        <f t="shared" si="25"/>
        <v/>
      </c>
      <c r="AY65" s="81" t="str">
        <f t="shared" si="26"/>
        <v/>
      </c>
      <c r="AZ65" s="82"/>
      <c r="BA65" s="81" t="str">
        <f t="shared" si="23"/>
        <v/>
      </c>
      <c r="BB65" s="81" t="str">
        <f>IFERROR(VLOOKUP((CONCATENATE(AY65,BA65)),Listados!$U$3:$V$11,2,FALSE),"")</f>
        <v/>
      </c>
      <c r="BC65" s="81" t="str">
        <f t="shared" si="24"/>
        <v/>
      </c>
      <c r="BD65" s="567"/>
      <c r="BE65" s="567"/>
      <c r="BF65" s="567"/>
      <c r="BG65" s="567"/>
      <c r="BH65" s="582"/>
      <c r="BI65" s="582"/>
      <c r="BJ65" s="582"/>
      <c r="BK65" s="582"/>
      <c r="BL65" s="336"/>
      <c r="BM65" s="336"/>
      <c r="BN65" s="336"/>
      <c r="BO65" s="336"/>
      <c r="BP65" s="336"/>
      <c r="BQ65" s="336"/>
      <c r="BR65" s="790"/>
      <c r="BS65" s="790"/>
      <c r="BT65" s="779"/>
      <c r="BU65" s="848"/>
      <c r="BV65" s="779"/>
      <c r="BW65" s="779"/>
    </row>
    <row r="66" spans="1:75">
      <c r="A66" s="927"/>
      <c r="B66" s="580"/>
      <c r="C66" s="582"/>
      <c r="D66" s="580"/>
      <c r="E66" s="375"/>
      <c r="F66" s="388"/>
      <c r="G66" s="348"/>
      <c r="H66" s="580"/>
      <c r="I66" s="580"/>
      <c r="J66" s="580"/>
      <c r="K66" s="580"/>
      <c r="L66" s="580"/>
      <c r="M66" s="580"/>
      <c r="N66" s="580"/>
      <c r="O66" s="580"/>
      <c r="P66" s="580"/>
      <c r="Q66" s="580"/>
      <c r="R66" s="580"/>
      <c r="S66" s="580"/>
      <c r="T66" s="580"/>
      <c r="U66" s="580"/>
      <c r="V66" s="580"/>
      <c r="W66" s="580"/>
      <c r="X66" s="580"/>
      <c r="Y66" s="580"/>
      <c r="Z66" s="580"/>
      <c r="AA66" s="582"/>
      <c r="AB66" s="573"/>
      <c r="AC66" s="565"/>
      <c r="AD66" s="565"/>
      <c r="AE66" s="565"/>
      <c r="AF66" s="565"/>
      <c r="AG66" s="376"/>
      <c r="AH66" s="347"/>
      <c r="AI66" s="348"/>
      <c r="AJ66" s="348"/>
      <c r="AK66" s="333" t="str">
        <f t="shared" si="0"/>
        <v>0</v>
      </c>
      <c r="AL66" s="348"/>
      <c r="AM66" s="333" t="str">
        <f t="shared" si="1"/>
        <v>0</v>
      </c>
      <c r="AN66" s="55"/>
      <c r="AO66" s="333" t="str">
        <f t="shared" si="6"/>
        <v>0</v>
      </c>
      <c r="AP66" s="348"/>
      <c r="AQ66" s="333" t="str">
        <f t="shared" si="2"/>
        <v>0</v>
      </c>
      <c r="AR66" s="348"/>
      <c r="AS66" s="333" t="str">
        <f t="shared" si="3"/>
        <v>0</v>
      </c>
      <c r="AT66" s="348"/>
      <c r="AU66" s="333" t="str">
        <f t="shared" si="4"/>
        <v>0</v>
      </c>
      <c r="AV66" s="55"/>
      <c r="AW66" s="333" t="str">
        <f t="shared" si="5"/>
        <v>0</v>
      </c>
      <c r="AX66" s="81" t="str">
        <f t="shared" si="25"/>
        <v/>
      </c>
      <c r="AY66" s="81" t="str">
        <f t="shared" si="26"/>
        <v/>
      </c>
      <c r="AZ66" s="82"/>
      <c r="BA66" s="81" t="str">
        <f t="shared" si="23"/>
        <v/>
      </c>
      <c r="BB66" s="81" t="str">
        <f>IFERROR(VLOOKUP((CONCATENATE(AY66,BA66)),Listados!$U$3:$V$11,2,FALSE),"")</f>
        <v/>
      </c>
      <c r="BC66" s="81" t="str">
        <f t="shared" si="24"/>
        <v/>
      </c>
      <c r="BD66" s="567"/>
      <c r="BE66" s="567"/>
      <c r="BF66" s="567"/>
      <c r="BG66" s="567"/>
      <c r="BH66" s="582"/>
      <c r="BI66" s="582"/>
      <c r="BJ66" s="582"/>
      <c r="BK66" s="582"/>
      <c r="BL66" s="336"/>
      <c r="BM66" s="336"/>
      <c r="BN66" s="339"/>
      <c r="BO66" s="339"/>
      <c r="BP66" s="336"/>
      <c r="BQ66" s="336"/>
      <c r="BR66" s="790"/>
      <c r="BS66" s="790"/>
      <c r="BT66" s="779"/>
      <c r="BU66" s="848"/>
      <c r="BV66" s="779"/>
      <c r="BW66" s="779"/>
    </row>
    <row r="67" spans="1:75">
      <c r="A67" s="928"/>
      <c r="B67" s="555"/>
      <c r="C67" s="557"/>
      <c r="D67" s="555"/>
      <c r="E67" s="375"/>
      <c r="F67" s="388"/>
      <c r="G67" s="348"/>
      <c r="H67" s="555"/>
      <c r="I67" s="555"/>
      <c r="J67" s="555"/>
      <c r="K67" s="555"/>
      <c r="L67" s="555"/>
      <c r="M67" s="555"/>
      <c r="N67" s="555"/>
      <c r="O67" s="555"/>
      <c r="P67" s="555"/>
      <c r="Q67" s="555"/>
      <c r="R67" s="555"/>
      <c r="S67" s="555"/>
      <c r="T67" s="555"/>
      <c r="U67" s="555"/>
      <c r="V67" s="555"/>
      <c r="W67" s="555"/>
      <c r="X67" s="555"/>
      <c r="Y67" s="555"/>
      <c r="Z67" s="555"/>
      <c r="AA67" s="557"/>
      <c r="AB67" s="573"/>
      <c r="AC67" s="565"/>
      <c r="AD67" s="565"/>
      <c r="AE67" s="565"/>
      <c r="AF67" s="565"/>
      <c r="AG67" s="376"/>
      <c r="AH67" s="347"/>
      <c r="AI67" s="348"/>
      <c r="AJ67" s="348"/>
      <c r="AK67" s="333" t="str">
        <f t="shared" si="0"/>
        <v>0</v>
      </c>
      <c r="AL67" s="348"/>
      <c r="AM67" s="333" t="str">
        <f t="shared" si="1"/>
        <v>0</v>
      </c>
      <c r="AN67" s="55"/>
      <c r="AO67" s="333" t="str">
        <f t="shared" si="6"/>
        <v>0</v>
      </c>
      <c r="AP67" s="348"/>
      <c r="AQ67" s="333" t="str">
        <f t="shared" si="2"/>
        <v>0</v>
      </c>
      <c r="AR67" s="348"/>
      <c r="AS67" s="333" t="str">
        <f t="shared" si="3"/>
        <v>0</v>
      </c>
      <c r="AT67" s="348"/>
      <c r="AU67" s="333" t="str">
        <f t="shared" si="4"/>
        <v>0</v>
      </c>
      <c r="AV67" s="55"/>
      <c r="AW67" s="333" t="str">
        <f t="shared" si="5"/>
        <v>0</v>
      </c>
      <c r="AX67" s="81" t="str">
        <f t="shared" si="25"/>
        <v/>
      </c>
      <c r="AY67" s="81" t="str">
        <f t="shared" si="26"/>
        <v/>
      </c>
      <c r="AZ67" s="82"/>
      <c r="BA67" s="81" t="str">
        <f t="shared" si="23"/>
        <v/>
      </c>
      <c r="BB67" s="81" t="str">
        <f>IFERROR(VLOOKUP((CONCATENATE(AY67,BA67)),Listados!$U$3:$V$11,2,FALSE),"")</f>
        <v/>
      </c>
      <c r="BC67" s="81" t="str">
        <f t="shared" si="24"/>
        <v/>
      </c>
      <c r="BD67" s="564"/>
      <c r="BE67" s="564"/>
      <c r="BF67" s="564"/>
      <c r="BG67" s="564"/>
      <c r="BH67" s="557"/>
      <c r="BI67" s="557"/>
      <c r="BJ67" s="557"/>
      <c r="BK67" s="557"/>
      <c r="BL67" s="336"/>
      <c r="BM67" s="336"/>
      <c r="BN67" s="339"/>
      <c r="BO67" s="339"/>
      <c r="BP67" s="336"/>
      <c r="BQ67" s="336"/>
      <c r="BR67" s="825"/>
      <c r="BS67" s="825"/>
      <c r="BT67" s="780"/>
      <c r="BU67" s="849"/>
      <c r="BV67" s="780"/>
      <c r="BW67" s="780"/>
    </row>
    <row r="68" spans="1:75">
      <c r="A68" s="929">
        <v>16</v>
      </c>
      <c r="B68" s="554"/>
      <c r="C68" s="556"/>
      <c r="D68" s="554"/>
      <c r="E68" s="375"/>
      <c r="F68" s="388"/>
      <c r="G68" s="348"/>
      <c r="H68" s="554"/>
      <c r="I68" s="554"/>
      <c r="J68" s="554"/>
      <c r="K68" s="554"/>
      <c r="L68" s="554"/>
      <c r="M68" s="554"/>
      <c r="N68" s="554"/>
      <c r="O68" s="554"/>
      <c r="P68" s="554"/>
      <c r="Q68" s="554"/>
      <c r="R68" s="554"/>
      <c r="S68" s="554"/>
      <c r="T68" s="554"/>
      <c r="U68" s="554"/>
      <c r="V68" s="554"/>
      <c r="W68" s="554"/>
      <c r="X68" s="554"/>
      <c r="Y68" s="554"/>
      <c r="Z68" s="554"/>
      <c r="AA68" s="556">
        <f>COUNTIF(H68:Z68, "SI")</f>
        <v>0</v>
      </c>
      <c r="AB68" s="573"/>
      <c r="AC68" s="565" t="e">
        <f>+VLOOKUP(AB68,Listados!$K$8:$L$12,2,0)</f>
        <v>#N/A</v>
      </c>
      <c r="AD68" s="565" t="str">
        <f>++IF(OR(AA68=0),"",IF(OR(AA68=1,AA68&lt;=5),"Moderado",IF(OR(AA68=6,AA68&lt;=11),"Mayor",IF(OR(AA68&gt;=12),"Catastrófico",""))))</f>
        <v/>
      </c>
      <c r="AE68" s="565" t="e">
        <f>+VLOOKUP(AD68,Listados!$K$13:$L$17,2,0)</f>
        <v>#N/A</v>
      </c>
      <c r="AF68" s="565" t="str">
        <f>IF(AND(AB68&lt;&gt;"",AD68&lt;&gt;""),VLOOKUP(AB68&amp;AD68,[3]Listados!$M$3:$N$27,2,FALSE),"")</f>
        <v/>
      </c>
      <c r="AG68" s="376"/>
      <c r="AH68" s="386"/>
      <c r="AI68" s="348"/>
      <c r="AJ68" s="348"/>
      <c r="AK68" s="333" t="str">
        <f>+IF(AJ68="si",15,"0")</f>
        <v>0</v>
      </c>
      <c r="AL68" s="348"/>
      <c r="AM68" s="333" t="str">
        <f>+IF(AL68="si",15,"0")</f>
        <v>0</v>
      </c>
      <c r="AN68" s="55"/>
      <c r="AO68" s="333" t="str">
        <f>+IF(AN68="si",15,"0")</f>
        <v>0</v>
      </c>
      <c r="AP68" s="348"/>
      <c r="AQ68" s="333" t="str">
        <f>+IF(AP68="Preventivo",15,IF(AP68="Detectivo",10,"0"))</f>
        <v>0</v>
      </c>
      <c r="AR68" s="348"/>
      <c r="AS68" s="333" t="str">
        <f>+IF(AR68="si",15,"0")</f>
        <v>0</v>
      </c>
      <c r="AT68" s="348"/>
      <c r="AU68" s="333" t="str">
        <f>+IF(AT68="si",15,"0")</f>
        <v>0</v>
      </c>
      <c r="AV68" s="55"/>
      <c r="AW68" s="333" t="str">
        <f>+IF(AV68="Completa",10,IF(AV68="Incompleta",5,"0"))</f>
        <v>0</v>
      </c>
      <c r="AX68" s="81" t="str">
        <f t="shared" si="25"/>
        <v/>
      </c>
      <c r="AY68" s="81" t="str">
        <f t="shared" si="26"/>
        <v/>
      </c>
      <c r="AZ68" s="82"/>
      <c r="BA68" s="81" t="str">
        <f t="shared" si="23"/>
        <v/>
      </c>
      <c r="BB68" s="81" t="str">
        <f>IFERROR(VLOOKUP((CONCATENATE(AY68,BA68)),Listados!$U$3:$V$11,2,FALSE),"")</f>
        <v/>
      </c>
      <c r="BC68" s="81" t="str">
        <f t="shared" si="24"/>
        <v/>
      </c>
      <c r="BD68" s="563" t="e">
        <f>AVERAGE(BC68:BC71)</f>
        <v>#DIV/0!</v>
      </c>
      <c r="BE68" s="563" t="e">
        <f>IF(BD68&lt;=50,"Débil",IF(BD68&lt;=99,"Moderado",IF(BD68=100,"fuerte","")))</f>
        <v>#DIV/0!</v>
      </c>
      <c r="BF68" s="563" t="e">
        <f>+IF(AND(AI68="Preventivo",BE68="Fuerte"),2,IF(AND(AI68="Preventivo",BE68="Moderado"),1,0))</f>
        <v>#DIV/0!</v>
      </c>
      <c r="BG68" s="563" t="e">
        <f>+AC68-BF68</f>
        <v>#N/A</v>
      </c>
      <c r="BH68" s="556" t="e">
        <f>+VLOOKUP(MIN(BG68),Listados!$J$18:$K$24,2,TRUE)</f>
        <v>#N/A</v>
      </c>
      <c r="BI68" s="556" t="str">
        <f>AD68</f>
        <v/>
      </c>
      <c r="BJ68" s="556" t="e">
        <f>IF(AND(BH68&lt;&gt;"",BI68&lt;&gt;""),VLOOKUP(BH68&amp;BI68,Listados!$M$3:$N$27,2,FALSE),"")</f>
        <v>#N/A</v>
      </c>
      <c r="BK68" s="556" t="e">
        <f>+VLOOKUP(BJ68,Listados!$P$3:$Q$6,2,FALSE)</f>
        <v>#N/A</v>
      </c>
      <c r="BL68" s="336"/>
      <c r="BM68" s="336"/>
      <c r="BN68" s="339"/>
      <c r="BO68" s="361"/>
      <c r="BP68" s="336"/>
      <c r="BQ68" s="336"/>
      <c r="BR68" s="935"/>
      <c r="BS68" s="935"/>
      <c r="BT68" s="936"/>
      <c r="BU68" s="937"/>
      <c r="BV68" s="936"/>
      <c r="BW68" s="936"/>
    </row>
    <row r="69" spans="1:75">
      <c r="A69" s="927"/>
      <c r="B69" s="580"/>
      <c r="C69" s="582"/>
      <c r="D69" s="580"/>
      <c r="E69" s="375"/>
      <c r="F69" s="388"/>
      <c r="G69" s="348"/>
      <c r="H69" s="580"/>
      <c r="I69" s="580"/>
      <c r="J69" s="580"/>
      <c r="K69" s="580"/>
      <c r="L69" s="580"/>
      <c r="M69" s="580"/>
      <c r="N69" s="580"/>
      <c r="O69" s="580"/>
      <c r="P69" s="580"/>
      <c r="Q69" s="580"/>
      <c r="R69" s="580"/>
      <c r="S69" s="580"/>
      <c r="T69" s="580"/>
      <c r="U69" s="580"/>
      <c r="V69" s="580"/>
      <c r="W69" s="580"/>
      <c r="X69" s="580"/>
      <c r="Y69" s="580"/>
      <c r="Z69" s="580"/>
      <c r="AA69" s="582"/>
      <c r="AB69" s="573"/>
      <c r="AC69" s="565"/>
      <c r="AD69" s="565"/>
      <c r="AE69" s="565"/>
      <c r="AF69" s="565"/>
      <c r="AG69" s="376"/>
      <c r="AH69" s="386"/>
      <c r="AI69" s="348"/>
      <c r="AJ69" s="348"/>
      <c r="AK69" s="333" t="str">
        <f t="shared" si="0"/>
        <v>0</v>
      </c>
      <c r="AL69" s="348"/>
      <c r="AM69" s="333" t="str">
        <f t="shared" si="1"/>
        <v>0</v>
      </c>
      <c r="AN69" s="55"/>
      <c r="AO69" s="333" t="str">
        <f t="shared" si="6"/>
        <v>0</v>
      </c>
      <c r="AP69" s="348"/>
      <c r="AQ69" s="333" t="str">
        <f t="shared" si="2"/>
        <v>0</v>
      </c>
      <c r="AR69" s="348"/>
      <c r="AS69" s="333" t="str">
        <f t="shared" si="3"/>
        <v>0</v>
      </c>
      <c r="AT69" s="348"/>
      <c r="AU69" s="333" t="str">
        <f t="shared" si="4"/>
        <v>0</v>
      </c>
      <c r="AV69" s="55"/>
      <c r="AW69" s="333" t="str">
        <f t="shared" si="5"/>
        <v>0</v>
      </c>
      <c r="AX69" s="81" t="str">
        <f t="shared" si="25"/>
        <v/>
      </c>
      <c r="AY69" s="81" t="str">
        <f t="shared" si="26"/>
        <v/>
      </c>
      <c r="AZ69" s="82"/>
      <c r="BA69" s="81" t="str">
        <f t="shared" si="23"/>
        <v/>
      </c>
      <c r="BB69" s="81" t="str">
        <f>IFERROR(VLOOKUP((CONCATENATE(AY69,BA69)),Listados!$U$3:$V$11,2,FALSE),"")</f>
        <v/>
      </c>
      <c r="BC69" s="81" t="str">
        <f t="shared" si="24"/>
        <v/>
      </c>
      <c r="BD69" s="567"/>
      <c r="BE69" s="567"/>
      <c r="BF69" s="567"/>
      <c r="BG69" s="567"/>
      <c r="BH69" s="582"/>
      <c r="BI69" s="582"/>
      <c r="BJ69" s="582"/>
      <c r="BK69" s="582"/>
      <c r="BL69" s="336"/>
      <c r="BM69" s="336"/>
      <c r="BN69" s="336"/>
      <c r="BO69" s="336"/>
      <c r="BP69" s="336"/>
      <c r="BQ69" s="336"/>
      <c r="BR69" s="790"/>
      <c r="BS69" s="790"/>
      <c r="BT69" s="779"/>
      <c r="BU69" s="848"/>
      <c r="BV69" s="779"/>
      <c r="BW69" s="779"/>
    </row>
    <row r="70" spans="1:75">
      <c r="A70" s="927"/>
      <c r="B70" s="580"/>
      <c r="C70" s="582"/>
      <c r="D70" s="580"/>
      <c r="E70" s="375"/>
      <c r="F70" s="388"/>
      <c r="G70" s="348"/>
      <c r="H70" s="580"/>
      <c r="I70" s="580"/>
      <c r="J70" s="580"/>
      <c r="K70" s="580"/>
      <c r="L70" s="580"/>
      <c r="M70" s="580"/>
      <c r="N70" s="580"/>
      <c r="O70" s="580"/>
      <c r="P70" s="580"/>
      <c r="Q70" s="580"/>
      <c r="R70" s="580"/>
      <c r="S70" s="580"/>
      <c r="T70" s="580"/>
      <c r="U70" s="580"/>
      <c r="V70" s="580"/>
      <c r="W70" s="580"/>
      <c r="X70" s="580"/>
      <c r="Y70" s="580"/>
      <c r="Z70" s="580"/>
      <c r="AA70" s="582"/>
      <c r="AB70" s="573"/>
      <c r="AC70" s="565"/>
      <c r="AD70" s="565"/>
      <c r="AE70" s="565"/>
      <c r="AF70" s="565"/>
      <c r="AG70" s="376"/>
      <c r="AH70" s="347"/>
      <c r="AI70" s="348"/>
      <c r="AJ70" s="348"/>
      <c r="AK70" s="333" t="str">
        <f t="shared" si="0"/>
        <v>0</v>
      </c>
      <c r="AL70" s="348"/>
      <c r="AM70" s="333" t="str">
        <f t="shared" si="1"/>
        <v>0</v>
      </c>
      <c r="AN70" s="55"/>
      <c r="AO70" s="333" t="str">
        <f t="shared" si="6"/>
        <v>0</v>
      </c>
      <c r="AP70" s="348"/>
      <c r="AQ70" s="333" t="str">
        <f t="shared" si="2"/>
        <v>0</v>
      </c>
      <c r="AR70" s="348"/>
      <c r="AS70" s="333" t="str">
        <f t="shared" si="3"/>
        <v>0</v>
      </c>
      <c r="AT70" s="348"/>
      <c r="AU70" s="333" t="str">
        <f t="shared" si="4"/>
        <v>0</v>
      </c>
      <c r="AV70" s="55"/>
      <c r="AW70" s="333" t="str">
        <f t="shared" si="5"/>
        <v>0</v>
      </c>
      <c r="AX70" s="81" t="str">
        <f t="shared" si="25"/>
        <v/>
      </c>
      <c r="AY70" s="81" t="str">
        <f t="shared" si="26"/>
        <v/>
      </c>
      <c r="AZ70" s="82"/>
      <c r="BA70" s="81" t="str">
        <f t="shared" si="23"/>
        <v/>
      </c>
      <c r="BB70" s="81" t="str">
        <f>IFERROR(VLOOKUP((CONCATENATE(AY70,BA70)),Listados!$U$3:$V$11,2,FALSE),"")</f>
        <v/>
      </c>
      <c r="BC70" s="81" t="str">
        <f t="shared" si="24"/>
        <v/>
      </c>
      <c r="BD70" s="567"/>
      <c r="BE70" s="567"/>
      <c r="BF70" s="567"/>
      <c r="BG70" s="567"/>
      <c r="BH70" s="582"/>
      <c r="BI70" s="582"/>
      <c r="BJ70" s="582"/>
      <c r="BK70" s="582"/>
      <c r="BL70" s="336"/>
      <c r="BM70" s="336"/>
      <c r="BN70" s="339"/>
      <c r="BO70" s="339"/>
      <c r="BP70" s="336"/>
      <c r="BQ70" s="336"/>
      <c r="BR70" s="790"/>
      <c r="BS70" s="790"/>
      <c r="BT70" s="779"/>
      <c r="BU70" s="848"/>
      <c r="BV70" s="779"/>
      <c r="BW70" s="779"/>
    </row>
    <row r="71" spans="1:75">
      <c r="A71" s="928"/>
      <c r="B71" s="555"/>
      <c r="C71" s="557"/>
      <c r="D71" s="555"/>
      <c r="E71" s="375"/>
      <c r="F71" s="388"/>
      <c r="G71" s="348"/>
      <c r="H71" s="555"/>
      <c r="I71" s="555"/>
      <c r="J71" s="555"/>
      <c r="K71" s="555"/>
      <c r="L71" s="555"/>
      <c r="M71" s="555"/>
      <c r="N71" s="555"/>
      <c r="O71" s="555"/>
      <c r="P71" s="555"/>
      <c r="Q71" s="555"/>
      <c r="R71" s="555"/>
      <c r="S71" s="555"/>
      <c r="T71" s="555"/>
      <c r="U71" s="555"/>
      <c r="V71" s="555"/>
      <c r="W71" s="555"/>
      <c r="X71" s="555"/>
      <c r="Y71" s="555"/>
      <c r="Z71" s="555"/>
      <c r="AA71" s="557"/>
      <c r="AB71" s="573"/>
      <c r="AC71" s="565"/>
      <c r="AD71" s="565"/>
      <c r="AE71" s="565"/>
      <c r="AF71" s="565"/>
      <c r="AG71" s="376"/>
      <c r="AH71" s="347"/>
      <c r="AI71" s="348"/>
      <c r="AJ71" s="348"/>
      <c r="AK71" s="333" t="str">
        <f t="shared" si="0"/>
        <v>0</v>
      </c>
      <c r="AL71" s="348"/>
      <c r="AM71" s="333" t="str">
        <f t="shared" si="1"/>
        <v>0</v>
      </c>
      <c r="AN71" s="55"/>
      <c r="AO71" s="333" t="str">
        <f t="shared" si="6"/>
        <v>0</v>
      </c>
      <c r="AP71" s="348"/>
      <c r="AQ71" s="333" t="str">
        <f t="shared" si="2"/>
        <v>0</v>
      </c>
      <c r="AR71" s="348"/>
      <c r="AS71" s="333" t="str">
        <f t="shared" si="3"/>
        <v>0</v>
      </c>
      <c r="AT71" s="348"/>
      <c r="AU71" s="333" t="str">
        <f t="shared" si="4"/>
        <v>0</v>
      </c>
      <c r="AV71" s="55"/>
      <c r="AW71" s="333" t="str">
        <f t="shared" si="5"/>
        <v>0</v>
      </c>
      <c r="AX71" s="81" t="str">
        <f t="shared" si="25"/>
        <v/>
      </c>
      <c r="AY71" s="81" t="str">
        <f t="shared" si="26"/>
        <v/>
      </c>
      <c r="AZ71" s="82"/>
      <c r="BA71" s="81" t="str">
        <f t="shared" si="23"/>
        <v/>
      </c>
      <c r="BB71" s="81" t="str">
        <f>IFERROR(VLOOKUP((CONCATENATE(AY71,BA71)),Listados!$U$3:$V$11,2,FALSE),"")</f>
        <v/>
      </c>
      <c r="BC71" s="81" t="str">
        <f t="shared" si="24"/>
        <v/>
      </c>
      <c r="BD71" s="564"/>
      <c r="BE71" s="564"/>
      <c r="BF71" s="564"/>
      <c r="BG71" s="564"/>
      <c r="BH71" s="557"/>
      <c r="BI71" s="557"/>
      <c r="BJ71" s="557"/>
      <c r="BK71" s="557"/>
      <c r="BL71" s="336"/>
      <c r="BM71" s="336"/>
      <c r="BN71" s="339"/>
      <c r="BO71" s="339"/>
      <c r="BP71" s="336"/>
      <c r="BQ71" s="336"/>
      <c r="BR71" s="825"/>
      <c r="BS71" s="825"/>
      <c r="BT71" s="780"/>
      <c r="BU71" s="849"/>
      <c r="BV71" s="780"/>
      <c r="BW71" s="780"/>
    </row>
    <row r="72" spans="1:75">
      <c r="A72" s="929">
        <v>17</v>
      </c>
      <c r="B72" s="554"/>
      <c r="C72" s="556"/>
      <c r="D72" s="554"/>
      <c r="E72" s="375"/>
      <c r="F72" s="388"/>
      <c r="G72" s="348"/>
      <c r="H72" s="554"/>
      <c r="I72" s="554"/>
      <c r="J72" s="554"/>
      <c r="K72" s="554"/>
      <c r="L72" s="554"/>
      <c r="M72" s="554"/>
      <c r="N72" s="554"/>
      <c r="O72" s="554"/>
      <c r="P72" s="554"/>
      <c r="Q72" s="554"/>
      <c r="R72" s="554"/>
      <c r="S72" s="554"/>
      <c r="T72" s="554"/>
      <c r="U72" s="554"/>
      <c r="V72" s="554"/>
      <c r="W72" s="554"/>
      <c r="X72" s="554"/>
      <c r="Y72" s="554"/>
      <c r="Z72" s="554"/>
      <c r="AA72" s="556">
        <f>COUNTIF(H72:Z72, "SI")</f>
        <v>0</v>
      </c>
      <c r="AB72" s="573"/>
      <c r="AC72" s="565" t="e">
        <f>+VLOOKUP(AB72,Listados!$K$8:$L$12,2,0)</f>
        <v>#N/A</v>
      </c>
      <c r="AD72" s="565" t="str">
        <f>++IF(OR(AA72=0),"",IF(OR(AA72=1,AA72&lt;=5),"Moderado",IF(OR(AA72=6,AA72&lt;=11),"Mayor",IF(OR(AA72&gt;=12),"Catastrófico",""))))</f>
        <v/>
      </c>
      <c r="AE72" s="565" t="e">
        <f>+VLOOKUP(AD72,Listados!$K$13:$L$17,2,0)</f>
        <v>#N/A</v>
      </c>
      <c r="AF72" s="565" t="str">
        <f>IF(AND(AB72&lt;&gt;"",AD72&lt;&gt;""),VLOOKUP(AB72&amp;AD72,[3]Listados!$M$3:$N$27,2,FALSE),"")</f>
        <v/>
      </c>
      <c r="AG72" s="376"/>
      <c r="AH72" s="386"/>
      <c r="AI72" s="348"/>
      <c r="AJ72" s="348"/>
      <c r="AK72" s="333" t="str">
        <f>+IF(AJ72="si",15,"0")</f>
        <v>0</v>
      </c>
      <c r="AL72" s="348"/>
      <c r="AM72" s="333" t="str">
        <f>+IF(AL72="si",15,"0")</f>
        <v>0</v>
      </c>
      <c r="AN72" s="55"/>
      <c r="AO72" s="333" t="str">
        <f>+IF(AN72="si",15,"0")</f>
        <v>0</v>
      </c>
      <c r="AP72" s="348"/>
      <c r="AQ72" s="333" t="str">
        <f>+IF(AP72="Preventivo",15,IF(AP72="Detectivo",10,"0"))</f>
        <v>0</v>
      </c>
      <c r="AR72" s="348"/>
      <c r="AS72" s="333" t="str">
        <f>+IF(AR72="si",15,"0")</f>
        <v>0</v>
      </c>
      <c r="AT72" s="348"/>
      <c r="AU72" s="333" t="str">
        <f>+IF(AT72="si",15,"0")</f>
        <v>0</v>
      </c>
      <c r="AV72" s="55"/>
      <c r="AW72" s="333" t="str">
        <f>+IF(AV72="Completa",10,IF(AV72="Incompleta",5,"0"))</f>
        <v>0</v>
      </c>
      <c r="AX72" s="81" t="str">
        <f t="shared" si="25"/>
        <v/>
      </c>
      <c r="AY72" s="81" t="str">
        <f t="shared" si="26"/>
        <v/>
      </c>
      <c r="AZ72" s="82"/>
      <c r="BA72" s="81" t="str">
        <f t="shared" si="23"/>
        <v/>
      </c>
      <c r="BB72" s="81" t="str">
        <f>IFERROR(VLOOKUP((CONCATENATE(AY72,BA72)),Listados!$U$3:$V$11,2,FALSE),"")</f>
        <v/>
      </c>
      <c r="BC72" s="81" t="str">
        <f t="shared" si="24"/>
        <v/>
      </c>
      <c r="BD72" s="563" t="e">
        <f>AVERAGE(BC72:BC75)</f>
        <v>#DIV/0!</v>
      </c>
      <c r="BE72" s="563" t="e">
        <f>IF(BD72&lt;=50,"Débil",IF(BD72&lt;=99,"Moderado",IF(BD72=100,"fuerte","")))</f>
        <v>#DIV/0!</v>
      </c>
      <c r="BF72" s="563" t="e">
        <f>+IF(AND(AI72="Preventivo",BE72="Fuerte"),2,IF(AND(AI72="Preventivo",BE72="Moderado"),1,0))</f>
        <v>#DIV/0!</v>
      </c>
      <c r="BG72" s="563" t="e">
        <f>+AC72-BF72</f>
        <v>#N/A</v>
      </c>
      <c r="BH72" s="556" t="e">
        <f>+VLOOKUP(MIN(BG72),Listados!$J$18:$K$24,2,TRUE)</f>
        <v>#N/A</v>
      </c>
      <c r="BI72" s="556" t="str">
        <f>AD72</f>
        <v/>
      </c>
      <c r="BJ72" s="556" t="e">
        <f>IF(AND(BH72&lt;&gt;"",BI72&lt;&gt;""),VLOOKUP(BH72&amp;BI72,Listados!$M$3:$N$27,2,FALSE),"")</f>
        <v>#N/A</v>
      </c>
      <c r="BK72" s="556" t="e">
        <f>+VLOOKUP(BJ72,Listados!$P$3:$Q$6,2,FALSE)</f>
        <v>#N/A</v>
      </c>
      <c r="BL72" s="336"/>
      <c r="BM72" s="336"/>
      <c r="BN72" s="339"/>
      <c r="BO72" s="361"/>
      <c r="BP72" s="336"/>
      <c r="BQ72" s="336"/>
      <c r="BR72" s="935"/>
      <c r="BS72" s="935"/>
      <c r="BT72" s="936"/>
      <c r="BU72" s="937"/>
      <c r="BV72" s="936"/>
      <c r="BW72" s="936"/>
    </row>
    <row r="73" spans="1:75">
      <c r="A73" s="927"/>
      <c r="B73" s="580"/>
      <c r="C73" s="582"/>
      <c r="D73" s="580"/>
      <c r="E73" s="375"/>
      <c r="F73" s="388"/>
      <c r="G73" s="348"/>
      <c r="H73" s="580"/>
      <c r="I73" s="580"/>
      <c r="J73" s="580"/>
      <c r="K73" s="580"/>
      <c r="L73" s="580"/>
      <c r="M73" s="580"/>
      <c r="N73" s="580"/>
      <c r="O73" s="580"/>
      <c r="P73" s="580"/>
      <c r="Q73" s="580"/>
      <c r="R73" s="580"/>
      <c r="S73" s="580"/>
      <c r="T73" s="580"/>
      <c r="U73" s="580"/>
      <c r="V73" s="580"/>
      <c r="W73" s="580"/>
      <c r="X73" s="580"/>
      <c r="Y73" s="580"/>
      <c r="Z73" s="580"/>
      <c r="AA73" s="582"/>
      <c r="AB73" s="573"/>
      <c r="AC73" s="565"/>
      <c r="AD73" s="565"/>
      <c r="AE73" s="565"/>
      <c r="AF73" s="565"/>
      <c r="AG73" s="376"/>
      <c r="AH73" s="386"/>
      <c r="AI73" s="348"/>
      <c r="AJ73" s="348"/>
      <c r="AK73" s="333" t="str">
        <f t="shared" si="0"/>
        <v>0</v>
      </c>
      <c r="AL73" s="348"/>
      <c r="AM73" s="333" t="str">
        <f t="shared" si="1"/>
        <v>0</v>
      </c>
      <c r="AN73" s="55"/>
      <c r="AO73" s="333" t="str">
        <f t="shared" si="6"/>
        <v>0</v>
      </c>
      <c r="AP73" s="348"/>
      <c r="AQ73" s="333" t="str">
        <f t="shared" si="2"/>
        <v>0</v>
      </c>
      <c r="AR73" s="348"/>
      <c r="AS73" s="333" t="str">
        <f t="shared" si="3"/>
        <v>0</v>
      </c>
      <c r="AT73" s="348"/>
      <c r="AU73" s="333" t="str">
        <f t="shared" si="4"/>
        <v>0</v>
      </c>
      <c r="AV73" s="55"/>
      <c r="AW73" s="333" t="str">
        <f t="shared" si="5"/>
        <v>0</v>
      </c>
      <c r="AX73" s="81" t="str">
        <f t="shared" si="25"/>
        <v/>
      </c>
      <c r="AY73" s="81" t="str">
        <f t="shared" si="26"/>
        <v/>
      </c>
      <c r="AZ73" s="82"/>
      <c r="BA73" s="81" t="str">
        <f t="shared" si="23"/>
        <v/>
      </c>
      <c r="BB73" s="81" t="str">
        <f>IFERROR(VLOOKUP((CONCATENATE(AY73,BA73)),Listados!$U$3:$V$11,2,FALSE),"")</f>
        <v/>
      </c>
      <c r="BC73" s="81" t="str">
        <f t="shared" si="24"/>
        <v/>
      </c>
      <c r="BD73" s="567"/>
      <c r="BE73" s="567"/>
      <c r="BF73" s="567"/>
      <c r="BG73" s="567"/>
      <c r="BH73" s="582"/>
      <c r="BI73" s="582"/>
      <c r="BJ73" s="582"/>
      <c r="BK73" s="582"/>
      <c r="BL73" s="336"/>
      <c r="BM73" s="336"/>
      <c r="BN73" s="336"/>
      <c r="BO73" s="336"/>
      <c r="BP73" s="336"/>
      <c r="BQ73" s="336"/>
      <c r="BR73" s="790"/>
      <c r="BS73" s="790"/>
      <c r="BT73" s="779"/>
      <c r="BU73" s="848"/>
      <c r="BV73" s="779"/>
      <c r="BW73" s="779"/>
    </row>
    <row r="74" spans="1:75">
      <c r="A74" s="927"/>
      <c r="B74" s="580"/>
      <c r="C74" s="582"/>
      <c r="D74" s="580"/>
      <c r="E74" s="375"/>
      <c r="F74" s="388"/>
      <c r="G74" s="348"/>
      <c r="H74" s="580"/>
      <c r="I74" s="580"/>
      <c r="J74" s="580"/>
      <c r="K74" s="580"/>
      <c r="L74" s="580"/>
      <c r="M74" s="580"/>
      <c r="N74" s="580"/>
      <c r="O74" s="580"/>
      <c r="P74" s="580"/>
      <c r="Q74" s="580"/>
      <c r="R74" s="580"/>
      <c r="S74" s="580"/>
      <c r="T74" s="580"/>
      <c r="U74" s="580"/>
      <c r="V74" s="580"/>
      <c r="W74" s="580"/>
      <c r="X74" s="580"/>
      <c r="Y74" s="580"/>
      <c r="Z74" s="580"/>
      <c r="AA74" s="582"/>
      <c r="AB74" s="573"/>
      <c r="AC74" s="565"/>
      <c r="AD74" s="565"/>
      <c r="AE74" s="565"/>
      <c r="AF74" s="565"/>
      <c r="AG74" s="376"/>
      <c r="AH74" s="347"/>
      <c r="AI74" s="348"/>
      <c r="AJ74" s="348"/>
      <c r="AK74" s="333" t="str">
        <f t="shared" ref="AK74:AK75" si="27">+IF(AJ74="si",15,"0")</f>
        <v>0</v>
      </c>
      <c r="AL74" s="348"/>
      <c r="AM74" s="333" t="str">
        <f t="shared" ref="AM74:AM75" si="28">+IF(AL74="si",15,"0")</f>
        <v>0</v>
      </c>
      <c r="AN74" s="55"/>
      <c r="AO74" s="333" t="str">
        <f t="shared" ref="AO74:AO75" si="29">+IF(AN74="si",15,"0")</f>
        <v>0</v>
      </c>
      <c r="AP74" s="348"/>
      <c r="AQ74" s="333" t="str">
        <f t="shared" ref="AQ74:AQ75" si="30">+IF(AP74="Preventivo",15,IF(AP74="Detectivo",10,"0"))</f>
        <v>0</v>
      </c>
      <c r="AR74" s="348"/>
      <c r="AS74" s="333" t="str">
        <f t="shared" ref="AS74:AS75" si="31">+IF(AR74="si",15,"0")</f>
        <v>0</v>
      </c>
      <c r="AT74" s="348"/>
      <c r="AU74" s="333" t="str">
        <f t="shared" ref="AU74:AU75" si="32">+IF(AT74="si",15,"0")</f>
        <v>0</v>
      </c>
      <c r="AV74" s="55"/>
      <c r="AW74" s="333" t="str">
        <f t="shared" ref="AW74:AW75" si="33">+IF(AV74="Completa",10,IF(AV74="Incompleta",5,"0"))</f>
        <v>0</v>
      </c>
      <c r="AX74" s="81" t="str">
        <f t="shared" si="25"/>
        <v/>
      </c>
      <c r="AY74" s="81" t="str">
        <f t="shared" si="26"/>
        <v/>
      </c>
      <c r="AZ74" s="82"/>
      <c r="BA74" s="81" t="str">
        <f t="shared" si="23"/>
        <v/>
      </c>
      <c r="BB74" s="81" t="str">
        <f>IFERROR(VLOOKUP((CONCATENATE(AY74,BA74)),Listados!$U$3:$V$11,2,FALSE),"")</f>
        <v/>
      </c>
      <c r="BC74" s="81" t="str">
        <f t="shared" si="24"/>
        <v/>
      </c>
      <c r="BD74" s="567"/>
      <c r="BE74" s="567"/>
      <c r="BF74" s="567"/>
      <c r="BG74" s="567"/>
      <c r="BH74" s="582"/>
      <c r="BI74" s="582"/>
      <c r="BJ74" s="582"/>
      <c r="BK74" s="582"/>
      <c r="BL74" s="336"/>
      <c r="BM74" s="336"/>
      <c r="BN74" s="339"/>
      <c r="BO74" s="339"/>
      <c r="BP74" s="336"/>
      <c r="BQ74" s="336"/>
      <c r="BR74" s="790"/>
      <c r="BS74" s="790"/>
      <c r="BT74" s="779"/>
      <c r="BU74" s="848"/>
      <c r="BV74" s="779"/>
      <c r="BW74" s="779"/>
    </row>
    <row r="75" spans="1:75">
      <c r="A75" s="928"/>
      <c r="B75" s="555"/>
      <c r="C75" s="557"/>
      <c r="D75" s="555"/>
      <c r="E75" s="375"/>
      <c r="F75" s="388"/>
      <c r="G75" s="348"/>
      <c r="H75" s="555"/>
      <c r="I75" s="555"/>
      <c r="J75" s="555"/>
      <c r="K75" s="555"/>
      <c r="L75" s="555"/>
      <c r="M75" s="555"/>
      <c r="N75" s="555"/>
      <c r="O75" s="555"/>
      <c r="P75" s="555"/>
      <c r="Q75" s="555"/>
      <c r="R75" s="555"/>
      <c r="S75" s="555"/>
      <c r="T75" s="555"/>
      <c r="U75" s="555"/>
      <c r="V75" s="555"/>
      <c r="W75" s="555"/>
      <c r="X75" s="555"/>
      <c r="Y75" s="555"/>
      <c r="Z75" s="555"/>
      <c r="AA75" s="557"/>
      <c r="AB75" s="573"/>
      <c r="AC75" s="565"/>
      <c r="AD75" s="565"/>
      <c r="AE75" s="565"/>
      <c r="AF75" s="565"/>
      <c r="AG75" s="376"/>
      <c r="AH75" s="347"/>
      <c r="AI75" s="348"/>
      <c r="AJ75" s="348"/>
      <c r="AK75" s="333" t="str">
        <f t="shared" si="27"/>
        <v>0</v>
      </c>
      <c r="AL75" s="348"/>
      <c r="AM75" s="333" t="str">
        <f t="shared" si="28"/>
        <v>0</v>
      </c>
      <c r="AN75" s="55"/>
      <c r="AO75" s="333" t="str">
        <f t="shared" si="29"/>
        <v>0</v>
      </c>
      <c r="AP75" s="348"/>
      <c r="AQ75" s="333" t="str">
        <f t="shared" si="30"/>
        <v>0</v>
      </c>
      <c r="AR75" s="348"/>
      <c r="AS75" s="333" t="str">
        <f t="shared" si="31"/>
        <v>0</v>
      </c>
      <c r="AT75" s="348"/>
      <c r="AU75" s="333" t="str">
        <f t="shared" si="32"/>
        <v>0</v>
      </c>
      <c r="AV75" s="55"/>
      <c r="AW75" s="333" t="str">
        <f t="shared" si="33"/>
        <v>0</v>
      </c>
      <c r="AX75" s="81" t="str">
        <f t="shared" si="25"/>
        <v/>
      </c>
      <c r="AY75" s="81" t="str">
        <f t="shared" si="26"/>
        <v/>
      </c>
      <c r="AZ75" s="82"/>
      <c r="BA75" s="81" t="str">
        <f t="shared" si="23"/>
        <v/>
      </c>
      <c r="BB75" s="81" t="str">
        <f>IFERROR(VLOOKUP((CONCATENATE(AY75,BA75)),Listados!$U$3:$V$11,2,FALSE),"")</f>
        <v/>
      </c>
      <c r="BC75" s="81" t="str">
        <f t="shared" si="24"/>
        <v/>
      </c>
      <c r="BD75" s="564"/>
      <c r="BE75" s="564"/>
      <c r="BF75" s="564"/>
      <c r="BG75" s="564"/>
      <c r="BH75" s="557"/>
      <c r="BI75" s="557"/>
      <c r="BJ75" s="557"/>
      <c r="BK75" s="557"/>
      <c r="BL75" s="336"/>
      <c r="BM75" s="336"/>
      <c r="BN75" s="339"/>
      <c r="BO75" s="339"/>
      <c r="BP75" s="336"/>
      <c r="BQ75" s="336"/>
      <c r="BR75" s="825"/>
      <c r="BS75" s="825"/>
      <c r="BT75" s="780"/>
      <c r="BU75" s="849"/>
      <c r="BV75" s="780"/>
      <c r="BW75" s="780"/>
    </row>
    <row r="76" spans="1:75">
      <c r="A76" s="929">
        <v>18</v>
      </c>
      <c r="B76" s="554"/>
      <c r="C76" s="556"/>
      <c r="D76" s="554"/>
      <c r="E76" s="375"/>
      <c r="F76" s="388"/>
      <c r="G76" s="348"/>
      <c r="H76" s="554"/>
      <c r="I76" s="554"/>
      <c r="J76" s="554"/>
      <c r="K76" s="554"/>
      <c r="L76" s="554"/>
      <c r="M76" s="554"/>
      <c r="N76" s="554"/>
      <c r="O76" s="554"/>
      <c r="P76" s="554"/>
      <c r="Q76" s="554"/>
      <c r="R76" s="554"/>
      <c r="S76" s="554"/>
      <c r="T76" s="554"/>
      <c r="U76" s="554"/>
      <c r="V76" s="554"/>
      <c r="W76" s="554"/>
      <c r="X76" s="554"/>
      <c r="Y76" s="554"/>
      <c r="Z76" s="554"/>
      <c r="AA76" s="556">
        <f>COUNTIF(H76:Z76, "SI")</f>
        <v>0</v>
      </c>
      <c r="AB76" s="573"/>
      <c r="AC76" s="565" t="e">
        <f>+VLOOKUP(AB76,Listados!$K$8:$L$12,2,0)</f>
        <v>#N/A</v>
      </c>
      <c r="AD76" s="565" t="str">
        <f>++IF(OR(AA76=0),"",IF(OR(AA76=1,AA76&lt;=5),"Moderado",IF(OR(AA76=6,AA76&lt;=11),"Mayor",IF(OR(AA76&gt;=12),"Catastrófico",""))))</f>
        <v/>
      </c>
      <c r="AE76" s="565" t="e">
        <f>+VLOOKUP(AD76,Listados!$K$13:$L$17,2,0)</f>
        <v>#N/A</v>
      </c>
      <c r="AF76" s="565" t="str">
        <f>IF(AND(AB76&lt;&gt;"",AD76&lt;&gt;""),VLOOKUP(AB76&amp;AD76,[3]Listados!$M$3:$N$27,2,FALSE),"")</f>
        <v/>
      </c>
      <c r="AG76" s="376"/>
      <c r="AH76" s="386"/>
      <c r="AI76" s="348"/>
      <c r="AJ76" s="348"/>
      <c r="AK76" s="333" t="str">
        <f>+IF(AJ76="si",15,"0")</f>
        <v>0</v>
      </c>
      <c r="AL76" s="348"/>
      <c r="AM76" s="333" t="str">
        <f>+IF(AL76="si",15,"0")</f>
        <v>0</v>
      </c>
      <c r="AN76" s="55"/>
      <c r="AO76" s="333" t="str">
        <f>+IF(AN76="si",15,"0")</f>
        <v>0</v>
      </c>
      <c r="AP76" s="348"/>
      <c r="AQ76" s="333" t="str">
        <f>+IF(AP76="Preventivo",15,IF(AP76="Detectivo",10,"0"))</f>
        <v>0</v>
      </c>
      <c r="AR76" s="348"/>
      <c r="AS76" s="333" t="str">
        <f>+IF(AR76="si",15,"0")</f>
        <v>0</v>
      </c>
      <c r="AT76" s="348"/>
      <c r="AU76" s="333" t="str">
        <f>+IF(AT76="si",15,"0")</f>
        <v>0</v>
      </c>
      <c r="AV76" s="55"/>
      <c r="AW76" s="333" t="str">
        <f>+IF(AV76="Completa",10,IF(AV76="Incompleta",5,"0"))</f>
        <v>0</v>
      </c>
      <c r="AX76" s="81" t="str">
        <f t="shared" si="25"/>
        <v/>
      </c>
      <c r="AY76" s="81" t="str">
        <f t="shared" si="26"/>
        <v/>
      </c>
      <c r="AZ76" s="82"/>
      <c r="BA76" s="81" t="str">
        <f t="shared" si="23"/>
        <v/>
      </c>
      <c r="BB76" s="81" t="str">
        <f>IFERROR(VLOOKUP((CONCATENATE(AY76,BA76)),Listados!$U$3:$V$11,2,FALSE),"")</f>
        <v/>
      </c>
      <c r="BC76" s="81" t="str">
        <f t="shared" si="24"/>
        <v/>
      </c>
      <c r="BD76" s="563" t="e">
        <f>AVERAGE(BC76:BC79)</f>
        <v>#DIV/0!</v>
      </c>
      <c r="BE76" s="563" t="e">
        <f>IF(BD76&lt;=50,"Débil",IF(BD76&lt;=99,"Moderado",IF(BD76=100,"fuerte","")))</f>
        <v>#DIV/0!</v>
      </c>
      <c r="BF76" s="563" t="e">
        <f>+IF(AND(AI76="Preventivo",BE76="Fuerte"),2,IF(AND(AI76="Preventivo",BE76="Moderado"),1,0))</f>
        <v>#DIV/0!</v>
      </c>
      <c r="BG76" s="563" t="e">
        <f>+AC76-BF76</f>
        <v>#N/A</v>
      </c>
      <c r="BH76" s="556" t="e">
        <f>+VLOOKUP(MIN(BG76),Listados!$J$18:$K$24,2,TRUE)</f>
        <v>#N/A</v>
      </c>
      <c r="BI76" s="556" t="str">
        <f>AD76</f>
        <v/>
      </c>
      <c r="BJ76" s="556" t="e">
        <f>IF(AND(BH76&lt;&gt;"",BI76&lt;&gt;""),VLOOKUP(BH76&amp;BI76,Listados!$M$3:$N$27,2,FALSE),"")</f>
        <v>#N/A</v>
      </c>
      <c r="BK76" s="556" t="e">
        <f>+VLOOKUP(BJ76,Listados!$P$3:$Q$6,2,FALSE)</f>
        <v>#N/A</v>
      </c>
      <c r="BL76" s="336"/>
      <c r="BM76" s="336"/>
      <c r="BN76" s="339"/>
      <c r="BO76" s="361"/>
      <c r="BP76" s="336"/>
      <c r="BQ76" s="336"/>
      <c r="BR76" s="935"/>
      <c r="BS76" s="935"/>
      <c r="BT76" s="936"/>
      <c r="BU76" s="937"/>
      <c r="BV76" s="936"/>
      <c r="BW76" s="936"/>
    </row>
    <row r="77" spans="1:75">
      <c r="A77" s="927"/>
      <c r="B77" s="580"/>
      <c r="C77" s="582"/>
      <c r="D77" s="580"/>
      <c r="E77" s="375"/>
      <c r="F77" s="388"/>
      <c r="G77" s="348"/>
      <c r="H77" s="580"/>
      <c r="I77" s="580"/>
      <c r="J77" s="580"/>
      <c r="K77" s="580"/>
      <c r="L77" s="580"/>
      <c r="M77" s="580"/>
      <c r="N77" s="580"/>
      <c r="O77" s="580"/>
      <c r="P77" s="580"/>
      <c r="Q77" s="580"/>
      <c r="R77" s="580"/>
      <c r="S77" s="580"/>
      <c r="T77" s="580"/>
      <c r="U77" s="580"/>
      <c r="V77" s="580"/>
      <c r="W77" s="580"/>
      <c r="X77" s="580"/>
      <c r="Y77" s="580"/>
      <c r="Z77" s="580"/>
      <c r="AA77" s="582"/>
      <c r="AB77" s="573"/>
      <c r="AC77" s="565"/>
      <c r="AD77" s="565"/>
      <c r="AE77" s="565"/>
      <c r="AF77" s="565"/>
      <c r="AG77" s="376"/>
      <c r="AH77" s="386"/>
      <c r="AI77" s="348"/>
      <c r="AJ77" s="348"/>
      <c r="AK77" s="333" t="str">
        <f t="shared" ref="AK77:AK79" si="34">+IF(AJ77="si",15,"0")</f>
        <v>0</v>
      </c>
      <c r="AL77" s="348"/>
      <c r="AM77" s="333" t="str">
        <f t="shared" ref="AM77:AM79" si="35">+IF(AL77="si",15,"0")</f>
        <v>0</v>
      </c>
      <c r="AN77" s="55"/>
      <c r="AO77" s="333" t="str">
        <f t="shared" ref="AO77:AO79" si="36">+IF(AN77="si",15,"0")</f>
        <v>0</v>
      </c>
      <c r="AP77" s="348"/>
      <c r="AQ77" s="333" t="str">
        <f t="shared" ref="AQ77:AQ79" si="37">+IF(AP77="Preventivo",15,IF(AP77="Detectivo",10,"0"))</f>
        <v>0</v>
      </c>
      <c r="AR77" s="348"/>
      <c r="AS77" s="333" t="str">
        <f t="shared" ref="AS77:AS79" si="38">+IF(AR77="si",15,"0")</f>
        <v>0</v>
      </c>
      <c r="AT77" s="348"/>
      <c r="AU77" s="333" t="str">
        <f t="shared" ref="AU77:AU79" si="39">+IF(AT77="si",15,"0")</f>
        <v>0</v>
      </c>
      <c r="AV77" s="55"/>
      <c r="AW77" s="333" t="str">
        <f t="shared" ref="AW77:AW79" si="40">+IF(AV77="Completa",10,IF(AV77="Incompleta",5,"0"))</f>
        <v>0</v>
      </c>
      <c r="AX77" s="81" t="str">
        <f t="shared" si="25"/>
        <v/>
      </c>
      <c r="AY77" s="81" t="str">
        <f t="shared" si="26"/>
        <v/>
      </c>
      <c r="AZ77" s="82"/>
      <c r="BA77" s="81" t="str">
        <f t="shared" si="23"/>
        <v/>
      </c>
      <c r="BB77" s="81" t="str">
        <f>IFERROR(VLOOKUP((CONCATENATE(AY77,BA77)),Listados!$U$3:$V$11,2,FALSE),"")</f>
        <v/>
      </c>
      <c r="BC77" s="81" t="str">
        <f t="shared" si="24"/>
        <v/>
      </c>
      <c r="BD77" s="567"/>
      <c r="BE77" s="567"/>
      <c r="BF77" s="567"/>
      <c r="BG77" s="567"/>
      <c r="BH77" s="582"/>
      <c r="BI77" s="582"/>
      <c r="BJ77" s="582"/>
      <c r="BK77" s="582"/>
      <c r="BL77" s="336"/>
      <c r="BM77" s="336"/>
      <c r="BN77" s="336"/>
      <c r="BO77" s="336"/>
      <c r="BP77" s="336"/>
      <c r="BQ77" s="336"/>
      <c r="BR77" s="790"/>
      <c r="BS77" s="790"/>
      <c r="BT77" s="779"/>
      <c r="BU77" s="848"/>
      <c r="BV77" s="779"/>
      <c r="BW77" s="779"/>
    </row>
    <row r="78" spans="1:75">
      <c r="A78" s="927"/>
      <c r="B78" s="580"/>
      <c r="C78" s="582"/>
      <c r="D78" s="580"/>
      <c r="E78" s="375"/>
      <c r="F78" s="388"/>
      <c r="G78" s="348"/>
      <c r="H78" s="580"/>
      <c r="I78" s="580"/>
      <c r="J78" s="580"/>
      <c r="K78" s="580"/>
      <c r="L78" s="580"/>
      <c r="M78" s="580"/>
      <c r="N78" s="580"/>
      <c r="O78" s="580"/>
      <c r="P78" s="580"/>
      <c r="Q78" s="580"/>
      <c r="R78" s="580"/>
      <c r="S78" s="580"/>
      <c r="T78" s="580"/>
      <c r="U78" s="580"/>
      <c r="V78" s="580"/>
      <c r="W78" s="580"/>
      <c r="X78" s="580"/>
      <c r="Y78" s="580"/>
      <c r="Z78" s="580"/>
      <c r="AA78" s="582"/>
      <c r="AB78" s="573"/>
      <c r="AC78" s="565"/>
      <c r="AD78" s="565"/>
      <c r="AE78" s="565"/>
      <c r="AF78" s="565"/>
      <c r="AG78" s="376"/>
      <c r="AH78" s="347"/>
      <c r="AI78" s="348"/>
      <c r="AJ78" s="348"/>
      <c r="AK78" s="333" t="str">
        <f t="shared" si="34"/>
        <v>0</v>
      </c>
      <c r="AL78" s="348"/>
      <c r="AM78" s="333" t="str">
        <f t="shared" si="35"/>
        <v>0</v>
      </c>
      <c r="AN78" s="55"/>
      <c r="AO78" s="333" t="str">
        <f t="shared" si="36"/>
        <v>0</v>
      </c>
      <c r="AP78" s="348"/>
      <c r="AQ78" s="333" t="str">
        <f t="shared" si="37"/>
        <v>0</v>
      </c>
      <c r="AR78" s="348"/>
      <c r="AS78" s="333" t="str">
        <f t="shared" si="38"/>
        <v>0</v>
      </c>
      <c r="AT78" s="348"/>
      <c r="AU78" s="333" t="str">
        <f t="shared" si="39"/>
        <v>0</v>
      </c>
      <c r="AV78" s="55"/>
      <c r="AW78" s="333" t="str">
        <f t="shared" si="40"/>
        <v>0</v>
      </c>
      <c r="AX78" s="81" t="str">
        <f t="shared" si="25"/>
        <v/>
      </c>
      <c r="AY78" s="81" t="str">
        <f t="shared" si="26"/>
        <v/>
      </c>
      <c r="AZ78" s="82"/>
      <c r="BA78" s="81" t="str">
        <f t="shared" si="23"/>
        <v/>
      </c>
      <c r="BB78" s="81" t="str">
        <f>IFERROR(VLOOKUP((CONCATENATE(AY78,BA78)),Listados!$U$3:$V$11,2,FALSE),"")</f>
        <v/>
      </c>
      <c r="BC78" s="81" t="str">
        <f t="shared" si="24"/>
        <v/>
      </c>
      <c r="BD78" s="567"/>
      <c r="BE78" s="567"/>
      <c r="BF78" s="567"/>
      <c r="BG78" s="567"/>
      <c r="BH78" s="582"/>
      <c r="BI78" s="582"/>
      <c r="BJ78" s="582"/>
      <c r="BK78" s="582"/>
      <c r="BL78" s="336"/>
      <c r="BM78" s="336"/>
      <c r="BN78" s="339"/>
      <c r="BO78" s="339"/>
      <c r="BP78" s="336"/>
      <c r="BQ78" s="336"/>
      <c r="BR78" s="790"/>
      <c r="BS78" s="790"/>
      <c r="BT78" s="779"/>
      <c r="BU78" s="848"/>
      <c r="BV78" s="779"/>
      <c r="BW78" s="779"/>
    </row>
    <row r="79" spans="1:75">
      <c r="A79" s="928"/>
      <c r="B79" s="555"/>
      <c r="C79" s="557"/>
      <c r="D79" s="555"/>
      <c r="E79" s="375"/>
      <c r="F79" s="388"/>
      <c r="G79" s="348"/>
      <c r="H79" s="555"/>
      <c r="I79" s="555"/>
      <c r="J79" s="555"/>
      <c r="K79" s="555"/>
      <c r="L79" s="555"/>
      <c r="M79" s="555"/>
      <c r="N79" s="555"/>
      <c r="O79" s="555"/>
      <c r="P79" s="555"/>
      <c r="Q79" s="555"/>
      <c r="R79" s="555"/>
      <c r="S79" s="555"/>
      <c r="T79" s="555"/>
      <c r="U79" s="555"/>
      <c r="V79" s="555"/>
      <c r="W79" s="555"/>
      <c r="X79" s="555"/>
      <c r="Y79" s="555"/>
      <c r="Z79" s="555"/>
      <c r="AA79" s="557"/>
      <c r="AB79" s="573"/>
      <c r="AC79" s="565"/>
      <c r="AD79" s="565"/>
      <c r="AE79" s="565"/>
      <c r="AF79" s="565"/>
      <c r="AG79" s="376"/>
      <c r="AH79" s="347"/>
      <c r="AI79" s="348"/>
      <c r="AJ79" s="348"/>
      <c r="AK79" s="333" t="str">
        <f t="shared" si="34"/>
        <v>0</v>
      </c>
      <c r="AL79" s="348"/>
      <c r="AM79" s="333" t="str">
        <f t="shared" si="35"/>
        <v>0</v>
      </c>
      <c r="AN79" s="55"/>
      <c r="AO79" s="333" t="str">
        <f t="shared" si="36"/>
        <v>0</v>
      </c>
      <c r="AP79" s="348"/>
      <c r="AQ79" s="333" t="str">
        <f t="shared" si="37"/>
        <v>0</v>
      </c>
      <c r="AR79" s="348"/>
      <c r="AS79" s="333" t="str">
        <f t="shared" si="38"/>
        <v>0</v>
      </c>
      <c r="AT79" s="348"/>
      <c r="AU79" s="333" t="str">
        <f t="shared" si="39"/>
        <v>0</v>
      </c>
      <c r="AV79" s="55"/>
      <c r="AW79" s="333" t="str">
        <f t="shared" si="40"/>
        <v>0</v>
      </c>
      <c r="AX79" s="81" t="str">
        <f t="shared" si="25"/>
        <v/>
      </c>
      <c r="AY79" s="81" t="str">
        <f t="shared" si="26"/>
        <v/>
      </c>
      <c r="AZ79" s="82"/>
      <c r="BA79" s="81" t="str">
        <f t="shared" si="23"/>
        <v/>
      </c>
      <c r="BB79" s="81" t="str">
        <f>IFERROR(VLOOKUP((CONCATENATE(AY79,BA79)),Listados!$U$3:$V$11,2,FALSE),"")</f>
        <v/>
      </c>
      <c r="BC79" s="81" t="str">
        <f t="shared" si="24"/>
        <v/>
      </c>
      <c r="BD79" s="564"/>
      <c r="BE79" s="564"/>
      <c r="BF79" s="564"/>
      <c r="BG79" s="564"/>
      <c r="BH79" s="557"/>
      <c r="BI79" s="557"/>
      <c r="BJ79" s="557"/>
      <c r="BK79" s="557"/>
      <c r="BL79" s="336"/>
      <c r="BM79" s="336"/>
      <c r="BN79" s="339"/>
      <c r="BO79" s="339"/>
      <c r="BP79" s="336"/>
      <c r="BQ79" s="336"/>
      <c r="BR79" s="825"/>
      <c r="BS79" s="825"/>
      <c r="BT79" s="780"/>
      <c r="BU79" s="849"/>
      <c r="BV79" s="780"/>
      <c r="BW79" s="780"/>
    </row>
    <row r="80" spans="1:75">
      <c r="A80" s="929">
        <v>19</v>
      </c>
      <c r="B80" s="554"/>
      <c r="C80" s="556"/>
      <c r="D80" s="554"/>
      <c r="E80" s="375"/>
      <c r="F80" s="388"/>
      <c r="G80" s="348"/>
      <c r="H80" s="554"/>
      <c r="I80" s="554"/>
      <c r="J80" s="554"/>
      <c r="K80" s="554"/>
      <c r="L80" s="554"/>
      <c r="M80" s="554"/>
      <c r="N80" s="554"/>
      <c r="O80" s="554"/>
      <c r="P80" s="554"/>
      <c r="Q80" s="554"/>
      <c r="R80" s="554"/>
      <c r="S80" s="554"/>
      <c r="T80" s="554"/>
      <c r="U80" s="554"/>
      <c r="V80" s="554"/>
      <c r="W80" s="554"/>
      <c r="X80" s="554"/>
      <c r="Y80" s="554"/>
      <c r="Z80" s="554"/>
      <c r="AA80" s="556">
        <f>COUNTIF(H80:Z80, "SI")</f>
        <v>0</v>
      </c>
      <c r="AB80" s="573"/>
      <c r="AC80" s="565" t="e">
        <f>+VLOOKUP(AB80,Listados!$K$8:$L$12,2,0)</f>
        <v>#N/A</v>
      </c>
      <c r="AD80" s="565" t="str">
        <f>++IF(OR(AA80=0),"",IF(OR(AA80=1,AA80&lt;=5),"Moderado",IF(OR(AA80=6,AA80&lt;=11),"Mayor",IF(OR(AA80&gt;=12),"Catastrófico",""))))</f>
        <v/>
      </c>
      <c r="AE80" s="565" t="e">
        <f>+VLOOKUP(AD80,Listados!$K$13:$L$17,2,0)</f>
        <v>#N/A</v>
      </c>
      <c r="AF80" s="565" t="str">
        <f>IF(AND(AB80&lt;&gt;"",AD80&lt;&gt;""),VLOOKUP(AB80&amp;AD80,[3]Listados!$M$3:$N$27,2,FALSE),"")</f>
        <v/>
      </c>
      <c r="AG80" s="376"/>
      <c r="AH80" s="386"/>
      <c r="AI80" s="348"/>
      <c r="AJ80" s="348"/>
      <c r="AK80" s="333" t="str">
        <f>+IF(AJ80="si",15,"0")</f>
        <v>0</v>
      </c>
      <c r="AL80" s="348"/>
      <c r="AM80" s="333" t="str">
        <f>+IF(AL80="si",15,"0")</f>
        <v>0</v>
      </c>
      <c r="AN80" s="55"/>
      <c r="AO80" s="333" t="str">
        <f>+IF(AN80="si",15,"0")</f>
        <v>0</v>
      </c>
      <c r="AP80" s="348"/>
      <c r="AQ80" s="333" t="str">
        <f>+IF(AP80="Preventivo",15,IF(AP80="Detectivo",10,"0"))</f>
        <v>0</v>
      </c>
      <c r="AR80" s="348"/>
      <c r="AS80" s="333" t="str">
        <f>+IF(AR80="si",15,"0")</f>
        <v>0</v>
      </c>
      <c r="AT80" s="348"/>
      <c r="AU80" s="333" t="str">
        <f>+IF(AT80="si",15,"0")</f>
        <v>0</v>
      </c>
      <c r="AV80" s="55"/>
      <c r="AW80" s="333" t="str">
        <f>+IF(AV80="Completa",10,IF(AV80="Incompleta",5,"0"))</f>
        <v>0</v>
      </c>
      <c r="AX80" s="81" t="str">
        <f t="shared" si="25"/>
        <v/>
      </c>
      <c r="AY80" s="81" t="str">
        <f t="shared" si="26"/>
        <v/>
      </c>
      <c r="AZ80" s="82"/>
      <c r="BA80" s="81" t="str">
        <f t="shared" si="23"/>
        <v/>
      </c>
      <c r="BB80" s="81" t="str">
        <f>IFERROR(VLOOKUP((CONCATENATE(AY80,BA80)),Listados!$U$3:$V$11,2,FALSE),"")</f>
        <v/>
      </c>
      <c r="BC80" s="81" t="str">
        <f t="shared" si="24"/>
        <v/>
      </c>
      <c r="BD80" s="563" t="e">
        <f>AVERAGE(BC80:BC83)</f>
        <v>#DIV/0!</v>
      </c>
      <c r="BE80" s="563" t="e">
        <f>IF(BD80&lt;=50,"Débil",IF(BD80&lt;=99,"Moderado",IF(BD80=100,"fuerte","")))</f>
        <v>#DIV/0!</v>
      </c>
      <c r="BF80" s="563" t="e">
        <f>+IF(AND(AI80="Preventivo",BE80="Fuerte"),2,IF(AND(AI80="Preventivo",BE80="Moderado"),1,0))</f>
        <v>#DIV/0!</v>
      </c>
      <c r="BG80" s="563" t="e">
        <f>+AC80-BF80</f>
        <v>#N/A</v>
      </c>
      <c r="BH80" s="556" t="e">
        <f>+VLOOKUP(MIN(BG80),Listados!$J$18:$K$24,2,TRUE)</f>
        <v>#N/A</v>
      </c>
      <c r="BI80" s="556" t="str">
        <f>AD80</f>
        <v/>
      </c>
      <c r="BJ80" s="556" t="e">
        <f>IF(AND(BH80&lt;&gt;"",BI80&lt;&gt;""),VLOOKUP(BH80&amp;BI80,Listados!$M$3:$N$27,2,FALSE),"")</f>
        <v>#N/A</v>
      </c>
      <c r="BK80" s="556" t="e">
        <f>+VLOOKUP(BJ80,Listados!$P$3:$Q$6,2,FALSE)</f>
        <v>#N/A</v>
      </c>
      <c r="BL80" s="336"/>
      <c r="BM80" s="336"/>
      <c r="BN80" s="339"/>
      <c r="BO80" s="361"/>
      <c r="BP80" s="336"/>
      <c r="BQ80" s="336"/>
      <c r="BR80" s="935"/>
      <c r="BS80" s="935"/>
      <c r="BT80" s="936"/>
      <c r="BU80" s="937"/>
      <c r="BV80" s="936"/>
      <c r="BW80" s="936"/>
    </row>
    <row r="81" spans="1:75">
      <c r="A81" s="927"/>
      <c r="B81" s="580"/>
      <c r="C81" s="582"/>
      <c r="D81" s="580"/>
      <c r="E81" s="375"/>
      <c r="F81" s="388"/>
      <c r="G81" s="348"/>
      <c r="H81" s="580"/>
      <c r="I81" s="580"/>
      <c r="J81" s="580"/>
      <c r="K81" s="580"/>
      <c r="L81" s="580"/>
      <c r="M81" s="580"/>
      <c r="N81" s="580"/>
      <c r="O81" s="580"/>
      <c r="P81" s="580"/>
      <c r="Q81" s="580"/>
      <c r="R81" s="580"/>
      <c r="S81" s="580"/>
      <c r="T81" s="580"/>
      <c r="U81" s="580"/>
      <c r="V81" s="580"/>
      <c r="W81" s="580"/>
      <c r="X81" s="580"/>
      <c r="Y81" s="580"/>
      <c r="Z81" s="580"/>
      <c r="AA81" s="582"/>
      <c r="AB81" s="573"/>
      <c r="AC81" s="565"/>
      <c r="AD81" s="565"/>
      <c r="AE81" s="565"/>
      <c r="AF81" s="565"/>
      <c r="AG81" s="376"/>
      <c r="AH81" s="386"/>
      <c r="AI81" s="348"/>
      <c r="AJ81" s="348"/>
      <c r="AK81" s="333" t="str">
        <f t="shared" ref="AK81:AK127" si="41">+IF(AJ81="si",15,"0")</f>
        <v>0</v>
      </c>
      <c r="AL81" s="348"/>
      <c r="AM81" s="333" t="str">
        <f t="shared" ref="AM81:AM127" si="42">+IF(AL81="si",15,"0")</f>
        <v>0</v>
      </c>
      <c r="AN81" s="55"/>
      <c r="AO81" s="333" t="str">
        <f t="shared" ref="AO81:AO127" si="43">+IF(AN81="si",15,"0")</f>
        <v>0</v>
      </c>
      <c r="AP81" s="348"/>
      <c r="AQ81" s="333" t="str">
        <f t="shared" ref="AQ81:AQ127" si="44">+IF(AP81="Preventivo",15,IF(AP81="Detectivo",10,"0"))</f>
        <v>0</v>
      </c>
      <c r="AR81" s="348"/>
      <c r="AS81" s="333" t="str">
        <f t="shared" ref="AS81:AS127" si="45">+IF(AR81="si",15,"0")</f>
        <v>0</v>
      </c>
      <c r="AT81" s="348"/>
      <c r="AU81" s="333" t="str">
        <f t="shared" ref="AU81:AU127" si="46">+IF(AT81="si",15,"0")</f>
        <v>0</v>
      </c>
      <c r="AV81" s="55"/>
      <c r="AW81" s="333" t="str">
        <f t="shared" ref="AW81:AW127" si="47">+IF(AV81="Completa",10,IF(AV81="Incompleta",5,"0"))</f>
        <v>0</v>
      </c>
      <c r="AX81" s="81" t="str">
        <f t="shared" si="25"/>
        <v/>
      </c>
      <c r="AY81" s="81" t="str">
        <f t="shared" si="26"/>
        <v/>
      </c>
      <c r="AZ81" s="82"/>
      <c r="BA81" s="81" t="str">
        <f t="shared" si="23"/>
        <v/>
      </c>
      <c r="BB81" s="81" t="str">
        <f>IFERROR(VLOOKUP((CONCATENATE(AY81,BA81)),Listados!$U$3:$V$11,2,FALSE),"")</f>
        <v/>
      </c>
      <c r="BC81" s="81" t="str">
        <f t="shared" si="24"/>
        <v/>
      </c>
      <c r="BD81" s="567"/>
      <c r="BE81" s="567"/>
      <c r="BF81" s="567"/>
      <c r="BG81" s="567"/>
      <c r="BH81" s="582"/>
      <c r="BI81" s="582"/>
      <c r="BJ81" s="582"/>
      <c r="BK81" s="582"/>
      <c r="BL81" s="336"/>
      <c r="BM81" s="336"/>
      <c r="BN81" s="336"/>
      <c r="BO81" s="336"/>
      <c r="BP81" s="336"/>
      <c r="BQ81" s="336"/>
      <c r="BR81" s="790"/>
      <c r="BS81" s="790"/>
      <c r="BT81" s="779"/>
      <c r="BU81" s="848"/>
      <c r="BV81" s="779"/>
      <c r="BW81" s="779"/>
    </row>
    <row r="82" spans="1:75">
      <c r="A82" s="927"/>
      <c r="B82" s="580"/>
      <c r="C82" s="582"/>
      <c r="D82" s="580"/>
      <c r="E82" s="375"/>
      <c r="F82" s="388"/>
      <c r="G82" s="348"/>
      <c r="H82" s="580"/>
      <c r="I82" s="580"/>
      <c r="J82" s="580"/>
      <c r="K82" s="580"/>
      <c r="L82" s="580"/>
      <c r="M82" s="580"/>
      <c r="N82" s="580"/>
      <c r="O82" s="580"/>
      <c r="P82" s="580"/>
      <c r="Q82" s="580"/>
      <c r="R82" s="580"/>
      <c r="S82" s="580"/>
      <c r="T82" s="580"/>
      <c r="U82" s="580"/>
      <c r="V82" s="580"/>
      <c r="W82" s="580"/>
      <c r="X82" s="580"/>
      <c r="Y82" s="580"/>
      <c r="Z82" s="580"/>
      <c r="AA82" s="582"/>
      <c r="AB82" s="573"/>
      <c r="AC82" s="565"/>
      <c r="AD82" s="565"/>
      <c r="AE82" s="565"/>
      <c r="AF82" s="565"/>
      <c r="AG82" s="376"/>
      <c r="AH82" s="347"/>
      <c r="AI82" s="348"/>
      <c r="AJ82" s="348"/>
      <c r="AK82" s="333" t="str">
        <f t="shared" si="41"/>
        <v>0</v>
      </c>
      <c r="AL82" s="348"/>
      <c r="AM82" s="333" t="str">
        <f t="shared" si="42"/>
        <v>0</v>
      </c>
      <c r="AN82" s="55"/>
      <c r="AO82" s="333" t="str">
        <f t="shared" si="43"/>
        <v>0</v>
      </c>
      <c r="AP82" s="348"/>
      <c r="AQ82" s="333" t="str">
        <f t="shared" si="44"/>
        <v>0</v>
      </c>
      <c r="AR82" s="348"/>
      <c r="AS82" s="333" t="str">
        <f t="shared" si="45"/>
        <v>0</v>
      </c>
      <c r="AT82" s="348"/>
      <c r="AU82" s="333" t="str">
        <f t="shared" si="46"/>
        <v>0</v>
      </c>
      <c r="AV82" s="55"/>
      <c r="AW82" s="333" t="str">
        <f t="shared" si="47"/>
        <v>0</v>
      </c>
      <c r="AX82" s="81" t="str">
        <f t="shared" si="25"/>
        <v/>
      </c>
      <c r="AY82" s="81" t="str">
        <f t="shared" si="26"/>
        <v/>
      </c>
      <c r="AZ82" s="82"/>
      <c r="BA82" s="81" t="str">
        <f t="shared" si="23"/>
        <v/>
      </c>
      <c r="BB82" s="81" t="str">
        <f>IFERROR(VLOOKUP((CONCATENATE(AY82,BA82)),Listados!$U$3:$V$11,2,FALSE),"")</f>
        <v/>
      </c>
      <c r="BC82" s="81" t="str">
        <f t="shared" si="24"/>
        <v/>
      </c>
      <c r="BD82" s="567"/>
      <c r="BE82" s="567"/>
      <c r="BF82" s="567"/>
      <c r="BG82" s="567"/>
      <c r="BH82" s="582"/>
      <c r="BI82" s="582"/>
      <c r="BJ82" s="582"/>
      <c r="BK82" s="582"/>
      <c r="BL82" s="336"/>
      <c r="BM82" s="336"/>
      <c r="BN82" s="339"/>
      <c r="BO82" s="339"/>
      <c r="BP82" s="336"/>
      <c r="BQ82" s="336"/>
      <c r="BR82" s="790"/>
      <c r="BS82" s="790"/>
      <c r="BT82" s="779"/>
      <c r="BU82" s="848"/>
      <c r="BV82" s="779"/>
      <c r="BW82" s="779"/>
    </row>
    <row r="83" spans="1:75">
      <c r="A83" s="928"/>
      <c r="B83" s="555"/>
      <c r="C83" s="557"/>
      <c r="D83" s="555"/>
      <c r="E83" s="375"/>
      <c r="F83" s="388"/>
      <c r="G83" s="348"/>
      <c r="H83" s="555"/>
      <c r="I83" s="555"/>
      <c r="J83" s="555"/>
      <c r="K83" s="555"/>
      <c r="L83" s="555"/>
      <c r="M83" s="555"/>
      <c r="N83" s="555"/>
      <c r="O83" s="555"/>
      <c r="P83" s="555"/>
      <c r="Q83" s="555"/>
      <c r="R83" s="555"/>
      <c r="S83" s="555"/>
      <c r="T83" s="555"/>
      <c r="U83" s="555"/>
      <c r="V83" s="555"/>
      <c r="W83" s="555"/>
      <c r="X83" s="555"/>
      <c r="Y83" s="555"/>
      <c r="Z83" s="555"/>
      <c r="AA83" s="557"/>
      <c r="AB83" s="573"/>
      <c r="AC83" s="565"/>
      <c r="AD83" s="565"/>
      <c r="AE83" s="565"/>
      <c r="AF83" s="565"/>
      <c r="AG83" s="376"/>
      <c r="AH83" s="347"/>
      <c r="AI83" s="348"/>
      <c r="AJ83" s="348"/>
      <c r="AK83" s="333" t="str">
        <f t="shared" si="41"/>
        <v>0</v>
      </c>
      <c r="AL83" s="348"/>
      <c r="AM83" s="333" t="str">
        <f t="shared" si="42"/>
        <v>0</v>
      </c>
      <c r="AN83" s="55"/>
      <c r="AO83" s="333" t="str">
        <f t="shared" si="43"/>
        <v>0</v>
      </c>
      <c r="AP83" s="348"/>
      <c r="AQ83" s="333" t="str">
        <f t="shared" si="44"/>
        <v>0</v>
      </c>
      <c r="AR83" s="348"/>
      <c r="AS83" s="333" t="str">
        <f t="shared" si="45"/>
        <v>0</v>
      </c>
      <c r="AT83" s="348"/>
      <c r="AU83" s="333" t="str">
        <f t="shared" si="46"/>
        <v>0</v>
      </c>
      <c r="AV83" s="55"/>
      <c r="AW83" s="333" t="str">
        <f t="shared" si="47"/>
        <v>0</v>
      </c>
      <c r="AX83" s="81" t="str">
        <f t="shared" si="25"/>
        <v/>
      </c>
      <c r="AY83" s="81" t="str">
        <f t="shared" si="26"/>
        <v/>
      </c>
      <c r="AZ83" s="82"/>
      <c r="BA83" s="81" t="str">
        <f t="shared" si="23"/>
        <v/>
      </c>
      <c r="BB83" s="81" t="str">
        <f>IFERROR(VLOOKUP((CONCATENATE(AY83,BA83)),Listados!$U$3:$V$11,2,FALSE),"")</f>
        <v/>
      </c>
      <c r="BC83" s="81" t="str">
        <f t="shared" si="24"/>
        <v/>
      </c>
      <c r="BD83" s="564"/>
      <c r="BE83" s="564"/>
      <c r="BF83" s="564"/>
      <c r="BG83" s="564"/>
      <c r="BH83" s="557"/>
      <c r="BI83" s="557"/>
      <c r="BJ83" s="557"/>
      <c r="BK83" s="557"/>
      <c r="BL83" s="336"/>
      <c r="BM83" s="336"/>
      <c r="BN83" s="339"/>
      <c r="BO83" s="339"/>
      <c r="BP83" s="336"/>
      <c r="BQ83" s="336"/>
      <c r="BR83" s="825"/>
      <c r="BS83" s="825"/>
      <c r="BT83" s="780"/>
      <c r="BU83" s="849"/>
      <c r="BV83" s="780"/>
      <c r="BW83" s="780"/>
    </row>
    <row r="84" spans="1:75">
      <c r="A84" s="929">
        <v>20</v>
      </c>
      <c r="B84" s="554"/>
      <c r="C84" s="556"/>
      <c r="D84" s="554"/>
      <c r="E84" s="375"/>
      <c r="F84" s="388"/>
      <c r="G84" s="348"/>
      <c r="H84" s="554"/>
      <c r="I84" s="554"/>
      <c r="J84" s="554"/>
      <c r="K84" s="554"/>
      <c r="L84" s="554"/>
      <c r="M84" s="554"/>
      <c r="N84" s="554"/>
      <c r="O84" s="554"/>
      <c r="P84" s="554"/>
      <c r="Q84" s="554"/>
      <c r="R84" s="554"/>
      <c r="S84" s="554"/>
      <c r="T84" s="554"/>
      <c r="U84" s="554"/>
      <c r="V84" s="554"/>
      <c r="W84" s="554"/>
      <c r="X84" s="554"/>
      <c r="Y84" s="554"/>
      <c r="Z84" s="554"/>
      <c r="AA84" s="556">
        <f>COUNTIF(H84:Z84, "SI")</f>
        <v>0</v>
      </c>
      <c r="AB84" s="573"/>
      <c r="AC84" s="565" t="e">
        <f>+VLOOKUP(AB84,Listados!$K$8:$L$12,2,0)</f>
        <v>#N/A</v>
      </c>
      <c r="AD84" s="565" t="str">
        <f>++IF(OR(AA84=0),"",IF(OR(AA84=1,AA84&lt;=5),"Moderado",IF(OR(AA84=6,AA84&lt;=11),"Mayor",IF(OR(AA84&gt;=12),"Catastrófico",""))))</f>
        <v/>
      </c>
      <c r="AE84" s="565" t="e">
        <f>+VLOOKUP(AD84,Listados!$K$13:$L$17,2,0)</f>
        <v>#N/A</v>
      </c>
      <c r="AF84" s="565" t="str">
        <f>IF(AND(AB84&lt;&gt;"",AD84&lt;&gt;""),VLOOKUP(AB84&amp;AD84,[3]Listados!$M$3:$N$27,2,FALSE),"")</f>
        <v/>
      </c>
      <c r="AG84" s="376"/>
      <c r="AH84" s="386"/>
      <c r="AI84" s="348"/>
      <c r="AJ84" s="348"/>
      <c r="AK84" s="333" t="str">
        <f>+IF(AJ84="si",15,"0")</f>
        <v>0</v>
      </c>
      <c r="AL84" s="348"/>
      <c r="AM84" s="333" t="str">
        <f>+IF(AL84="si",15,"0")</f>
        <v>0</v>
      </c>
      <c r="AN84" s="55"/>
      <c r="AO84" s="333" t="str">
        <f>+IF(AN84="si",15,"0")</f>
        <v>0</v>
      </c>
      <c r="AP84" s="348"/>
      <c r="AQ84" s="333" t="str">
        <f>+IF(AP84="Preventivo",15,IF(AP84="Detectivo",10,"0"))</f>
        <v>0</v>
      </c>
      <c r="AR84" s="348"/>
      <c r="AS84" s="333" t="str">
        <f>+IF(AR84="si",15,"0")</f>
        <v>0</v>
      </c>
      <c r="AT84" s="348"/>
      <c r="AU84" s="333" t="str">
        <f>+IF(AT84="si",15,"0")</f>
        <v>0</v>
      </c>
      <c r="AV84" s="55"/>
      <c r="AW84" s="333" t="str">
        <f>+IF(AV84="Completa",10,IF(AV84="Incompleta",5,"0"))</f>
        <v>0</v>
      </c>
      <c r="AX84" s="81" t="str">
        <f t="shared" si="25"/>
        <v/>
      </c>
      <c r="AY84" s="81" t="str">
        <f t="shared" si="26"/>
        <v/>
      </c>
      <c r="AZ84" s="82"/>
      <c r="BA84" s="81" t="str">
        <f t="shared" si="23"/>
        <v/>
      </c>
      <c r="BB84" s="81" t="str">
        <f>IFERROR(VLOOKUP((CONCATENATE(AY84,BA84)),Listados!$U$3:$V$11,2,FALSE),"")</f>
        <v/>
      </c>
      <c r="BC84" s="81" t="str">
        <f t="shared" si="24"/>
        <v/>
      </c>
      <c r="BD84" s="563" t="e">
        <f>AVERAGE(BC84:BC87)</f>
        <v>#DIV/0!</v>
      </c>
      <c r="BE84" s="563" t="e">
        <f>IF(BD84&lt;=50,"Débil",IF(BD84&lt;=99,"Moderado",IF(BD84=100,"fuerte","")))</f>
        <v>#DIV/0!</v>
      </c>
      <c r="BF84" s="563" t="e">
        <f>+IF(AND(AI84="Preventivo",BE84="Fuerte"),2,IF(AND(AI84="Preventivo",BE84="Moderado"),1,0))</f>
        <v>#DIV/0!</v>
      </c>
      <c r="BG84" s="563" t="e">
        <f>+AC84-BF84</f>
        <v>#N/A</v>
      </c>
      <c r="BH84" s="556" t="e">
        <f>+VLOOKUP(MIN(BG84),Listados!$J$18:$K$24,2,TRUE)</f>
        <v>#N/A</v>
      </c>
      <c r="BI84" s="556" t="str">
        <f>AD84</f>
        <v/>
      </c>
      <c r="BJ84" s="556" t="e">
        <f>IF(AND(BH84&lt;&gt;"",BI84&lt;&gt;""),VLOOKUP(BH84&amp;BI84,Listados!$M$3:$N$27,2,FALSE),"")</f>
        <v>#N/A</v>
      </c>
      <c r="BK84" s="556" t="e">
        <f>+VLOOKUP(BJ84,Listados!$P$3:$Q$6,2,FALSE)</f>
        <v>#N/A</v>
      </c>
      <c r="BL84" s="336"/>
      <c r="BM84" s="336"/>
      <c r="BN84" s="339"/>
      <c r="BO84" s="361"/>
      <c r="BP84" s="336"/>
      <c r="BQ84" s="336"/>
      <c r="BR84" s="935"/>
      <c r="BS84" s="935"/>
      <c r="BT84" s="936"/>
      <c r="BU84" s="937"/>
      <c r="BV84" s="936"/>
      <c r="BW84" s="936"/>
    </row>
    <row r="85" spans="1:75">
      <c r="A85" s="927"/>
      <c r="B85" s="580"/>
      <c r="C85" s="582"/>
      <c r="D85" s="580"/>
      <c r="E85" s="375"/>
      <c r="F85" s="388"/>
      <c r="G85" s="348"/>
      <c r="H85" s="580"/>
      <c r="I85" s="580"/>
      <c r="J85" s="580"/>
      <c r="K85" s="580"/>
      <c r="L85" s="580"/>
      <c r="M85" s="580"/>
      <c r="N85" s="580"/>
      <c r="O85" s="580"/>
      <c r="P85" s="580"/>
      <c r="Q85" s="580"/>
      <c r="R85" s="580"/>
      <c r="S85" s="580"/>
      <c r="T85" s="580"/>
      <c r="U85" s="580"/>
      <c r="V85" s="580"/>
      <c r="W85" s="580"/>
      <c r="X85" s="580"/>
      <c r="Y85" s="580"/>
      <c r="Z85" s="580"/>
      <c r="AA85" s="582"/>
      <c r="AB85" s="573"/>
      <c r="AC85" s="565"/>
      <c r="AD85" s="565"/>
      <c r="AE85" s="565"/>
      <c r="AF85" s="565"/>
      <c r="AG85" s="376"/>
      <c r="AH85" s="386"/>
      <c r="AI85" s="348"/>
      <c r="AJ85" s="348"/>
      <c r="AK85" s="333" t="str">
        <f t="shared" si="41"/>
        <v>0</v>
      </c>
      <c r="AL85" s="348"/>
      <c r="AM85" s="333" t="str">
        <f t="shared" si="42"/>
        <v>0</v>
      </c>
      <c r="AN85" s="55"/>
      <c r="AO85" s="333" t="str">
        <f t="shared" si="43"/>
        <v>0</v>
      </c>
      <c r="AP85" s="348"/>
      <c r="AQ85" s="333" t="str">
        <f t="shared" si="44"/>
        <v>0</v>
      </c>
      <c r="AR85" s="348"/>
      <c r="AS85" s="333" t="str">
        <f t="shared" si="45"/>
        <v>0</v>
      </c>
      <c r="AT85" s="348"/>
      <c r="AU85" s="333" t="str">
        <f t="shared" si="46"/>
        <v>0</v>
      </c>
      <c r="AV85" s="55"/>
      <c r="AW85" s="333" t="str">
        <f t="shared" si="47"/>
        <v>0</v>
      </c>
      <c r="AX85" s="81" t="str">
        <f t="shared" si="25"/>
        <v/>
      </c>
      <c r="AY85" s="81" t="str">
        <f t="shared" si="26"/>
        <v/>
      </c>
      <c r="AZ85" s="82"/>
      <c r="BA85" s="81" t="str">
        <f t="shared" si="23"/>
        <v/>
      </c>
      <c r="BB85" s="81" t="str">
        <f>IFERROR(VLOOKUP((CONCATENATE(AY85,BA85)),Listados!$U$3:$V$11,2,FALSE),"")</f>
        <v/>
      </c>
      <c r="BC85" s="81" t="str">
        <f t="shared" si="24"/>
        <v/>
      </c>
      <c r="BD85" s="567"/>
      <c r="BE85" s="567"/>
      <c r="BF85" s="567"/>
      <c r="BG85" s="567"/>
      <c r="BH85" s="582"/>
      <c r="BI85" s="582"/>
      <c r="BJ85" s="582"/>
      <c r="BK85" s="582"/>
      <c r="BL85" s="336"/>
      <c r="BM85" s="336"/>
      <c r="BN85" s="336"/>
      <c r="BO85" s="336"/>
      <c r="BP85" s="336"/>
      <c r="BQ85" s="336"/>
      <c r="BR85" s="790"/>
      <c r="BS85" s="790"/>
      <c r="BT85" s="779"/>
      <c r="BU85" s="848"/>
      <c r="BV85" s="779"/>
      <c r="BW85" s="779"/>
    </row>
    <row r="86" spans="1:75">
      <c r="A86" s="927"/>
      <c r="B86" s="580"/>
      <c r="C86" s="582"/>
      <c r="D86" s="580"/>
      <c r="E86" s="375"/>
      <c r="F86" s="388"/>
      <c r="G86" s="348"/>
      <c r="H86" s="580"/>
      <c r="I86" s="580"/>
      <c r="J86" s="580"/>
      <c r="K86" s="580"/>
      <c r="L86" s="580"/>
      <c r="M86" s="580"/>
      <c r="N86" s="580"/>
      <c r="O86" s="580"/>
      <c r="P86" s="580"/>
      <c r="Q86" s="580"/>
      <c r="R86" s="580"/>
      <c r="S86" s="580"/>
      <c r="T86" s="580"/>
      <c r="U86" s="580"/>
      <c r="V86" s="580"/>
      <c r="W86" s="580"/>
      <c r="X86" s="580"/>
      <c r="Y86" s="580"/>
      <c r="Z86" s="580"/>
      <c r="AA86" s="582"/>
      <c r="AB86" s="573"/>
      <c r="AC86" s="565"/>
      <c r="AD86" s="565"/>
      <c r="AE86" s="565"/>
      <c r="AF86" s="565"/>
      <c r="AG86" s="376"/>
      <c r="AH86" s="347"/>
      <c r="AI86" s="348"/>
      <c r="AJ86" s="348"/>
      <c r="AK86" s="333" t="str">
        <f t="shared" si="41"/>
        <v>0</v>
      </c>
      <c r="AL86" s="348"/>
      <c r="AM86" s="333" t="str">
        <f t="shared" si="42"/>
        <v>0</v>
      </c>
      <c r="AN86" s="55"/>
      <c r="AO86" s="333" t="str">
        <f t="shared" si="43"/>
        <v>0</v>
      </c>
      <c r="AP86" s="348"/>
      <c r="AQ86" s="333" t="str">
        <f t="shared" si="44"/>
        <v>0</v>
      </c>
      <c r="AR86" s="348"/>
      <c r="AS86" s="333" t="str">
        <f t="shared" si="45"/>
        <v>0</v>
      </c>
      <c r="AT86" s="348"/>
      <c r="AU86" s="333" t="str">
        <f t="shared" si="46"/>
        <v>0</v>
      </c>
      <c r="AV86" s="55"/>
      <c r="AW86" s="333" t="str">
        <f t="shared" si="47"/>
        <v>0</v>
      </c>
      <c r="AX86" s="81" t="str">
        <f t="shared" si="25"/>
        <v/>
      </c>
      <c r="AY86" s="81" t="str">
        <f t="shared" si="26"/>
        <v/>
      </c>
      <c r="AZ86" s="82"/>
      <c r="BA86" s="81" t="str">
        <f t="shared" si="23"/>
        <v/>
      </c>
      <c r="BB86" s="81" t="str">
        <f>IFERROR(VLOOKUP((CONCATENATE(AY86,BA86)),Listados!$U$3:$V$11,2,FALSE),"")</f>
        <v/>
      </c>
      <c r="BC86" s="81" t="str">
        <f t="shared" si="24"/>
        <v/>
      </c>
      <c r="BD86" s="567"/>
      <c r="BE86" s="567"/>
      <c r="BF86" s="567"/>
      <c r="BG86" s="567"/>
      <c r="BH86" s="582"/>
      <c r="BI86" s="582"/>
      <c r="BJ86" s="582"/>
      <c r="BK86" s="582"/>
      <c r="BL86" s="336"/>
      <c r="BM86" s="336"/>
      <c r="BN86" s="339"/>
      <c r="BO86" s="339"/>
      <c r="BP86" s="336"/>
      <c r="BQ86" s="336"/>
      <c r="BR86" s="790"/>
      <c r="BS86" s="790"/>
      <c r="BT86" s="779"/>
      <c r="BU86" s="848"/>
      <c r="BV86" s="779"/>
      <c r="BW86" s="779"/>
    </row>
    <row r="87" spans="1:75">
      <c r="A87" s="928"/>
      <c r="B87" s="555"/>
      <c r="C87" s="557"/>
      <c r="D87" s="555"/>
      <c r="E87" s="375"/>
      <c r="F87" s="388"/>
      <c r="G87" s="348"/>
      <c r="H87" s="555"/>
      <c r="I87" s="555"/>
      <c r="J87" s="555"/>
      <c r="K87" s="555"/>
      <c r="L87" s="555"/>
      <c r="M87" s="555"/>
      <c r="N87" s="555"/>
      <c r="O87" s="555"/>
      <c r="P87" s="555"/>
      <c r="Q87" s="555"/>
      <c r="R87" s="555"/>
      <c r="S87" s="555"/>
      <c r="T87" s="555"/>
      <c r="U87" s="555"/>
      <c r="V87" s="555"/>
      <c r="W87" s="555"/>
      <c r="X87" s="555"/>
      <c r="Y87" s="555"/>
      <c r="Z87" s="555"/>
      <c r="AA87" s="557"/>
      <c r="AB87" s="573"/>
      <c r="AC87" s="565"/>
      <c r="AD87" s="565"/>
      <c r="AE87" s="565"/>
      <c r="AF87" s="565"/>
      <c r="AG87" s="376"/>
      <c r="AH87" s="347"/>
      <c r="AI87" s="348"/>
      <c r="AJ87" s="348"/>
      <c r="AK87" s="333" t="str">
        <f t="shared" si="41"/>
        <v>0</v>
      </c>
      <c r="AL87" s="348"/>
      <c r="AM87" s="333" t="str">
        <f t="shared" si="42"/>
        <v>0</v>
      </c>
      <c r="AN87" s="55"/>
      <c r="AO87" s="333" t="str">
        <f t="shared" si="43"/>
        <v>0</v>
      </c>
      <c r="AP87" s="348"/>
      <c r="AQ87" s="333" t="str">
        <f t="shared" si="44"/>
        <v>0</v>
      </c>
      <c r="AR87" s="348"/>
      <c r="AS87" s="333" t="str">
        <f t="shared" si="45"/>
        <v>0</v>
      </c>
      <c r="AT87" s="348"/>
      <c r="AU87" s="333" t="str">
        <f t="shared" si="46"/>
        <v>0</v>
      </c>
      <c r="AV87" s="55"/>
      <c r="AW87" s="333" t="str">
        <f t="shared" si="47"/>
        <v>0</v>
      </c>
      <c r="AX87" s="81" t="str">
        <f t="shared" si="25"/>
        <v/>
      </c>
      <c r="AY87" s="81" t="str">
        <f t="shared" si="26"/>
        <v/>
      </c>
      <c r="AZ87" s="82"/>
      <c r="BA87" s="81" t="str">
        <f t="shared" si="23"/>
        <v/>
      </c>
      <c r="BB87" s="81" t="str">
        <f>IFERROR(VLOOKUP((CONCATENATE(AY87,BA87)),Listados!$U$3:$V$11,2,FALSE),"")</f>
        <v/>
      </c>
      <c r="BC87" s="81" t="str">
        <f t="shared" si="24"/>
        <v/>
      </c>
      <c r="BD87" s="564"/>
      <c r="BE87" s="564"/>
      <c r="BF87" s="564"/>
      <c r="BG87" s="564"/>
      <c r="BH87" s="557"/>
      <c r="BI87" s="557"/>
      <c r="BJ87" s="557"/>
      <c r="BK87" s="557"/>
      <c r="BL87" s="336"/>
      <c r="BM87" s="336"/>
      <c r="BN87" s="339"/>
      <c r="BO87" s="339"/>
      <c r="BP87" s="336"/>
      <c r="BQ87" s="336"/>
      <c r="BR87" s="825"/>
      <c r="BS87" s="825"/>
      <c r="BT87" s="780"/>
      <c r="BU87" s="849"/>
      <c r="BV87" s="780"/>
      <c r="BW87" s="780"/>
    </row>
    <row r="88" spans="1:75">
      <c r="A88" s="929">
        <v>21</v>
      </c>
      <c r="B88" s="554"/>
      <c r="C88" s="556"/>
      <c r="D88" s="554"/>
      <c r="E88" s="375"/>
      <c r="F88" s="388"/>
      <c r="G88" s="348"/>
      <c r="H88" s="554"/>
      <c r="I88" s="554"/>
      <c r="J88" s="554"/>
      <c r="K88" s="554"/>
      <c r="L88" s="554"/>
      <c r="M88" s="554"/>
      <c r="N88" s="554"/>
      <c r="O88" s="554"/>
      <c r="P88" s="554"/>
      <c r="Q88" s="554"/>
      <c r="R88" s="554"/>
      <c r="S88" s="554"/>
      <c r="T88" s="554"/>
      <c r="U88" s="554"/>
      <c r="V88" s="554"/>
      <c r="W88" s="554"/>
      <c r="X88" s="554"/>
      <c r="Y88" s="554"/>
      <c r="Z88" s="554"/>
      <c r="AA88" s="556">
        <f>COUNTIF(H88:Z88, "SI")</f>
        <v>0</v>
      </c>
      <c r="AB88" s="573"/>
      <c r="AC88" s="565" t="e">
        <f>+VLOOKUP(AB88,Listados!$K$8:$L$12,2,0)</f>
        <v>#N/A</v>
      </c>
      <c r="AD88" s="565" t="str">
        <f>++IF(OR(AA88=0),"",IF(OR(AA88=1,AA88&lt;=5),"Moderado",IF(OR(AA88=6,AA88&lt;=11),"Mayor",IF(OR(AA88&gt;=12),"Catastrófico",""))))</f>
        <v/>
      </c>
      <c r="AE88" s="565" t="e">
        <f>+VLOOKUP(AD88,Listados!$K$13:$L$17,2,0)</f>
        <v>#N/A</v>
      </c>
      <c r="AF88" s="565" t="str">
        <f>IF(AND(AB88&lt;&gt;"",AD88&lt;&gt;""),VLOOKUP(AB88&amp;AD88,[3]Listados!$M$3:$N$27,2,FALSE),"")</f>
        <v/>
      </c>
      <c r="AG88" s="376"/>
      <c r="AH88" s="386"/>
      <c r="AI88" s="348"/>
      <c r="AJ88" s="348"/>
      <c r="AK88" s="333" t="str">
        <f>+IF(AJ88="si",15,"0")</f>
        <v>0</v>
      </c>
      <c r="AL88" s="348"/>
      <c r="AM88" s="333" t="str">
        <f>+IF(AL88="si",15,"0")</f>
        <v>0</v>
      </c>
      <c r="AN88" s="55"/>
      <c r="AO88" s="333" t="str">
        <f>+IF(AN88="si",15,"0")</f>
        <v>0</v>
      </c>
      <c r="AP88" s="348"/>
      <c r="AQ88" s="333" t="str">
        <f>+IF(AP88="Preventivo",15,IF(AP88="Detectivo",10,"0"))</f>
        <v>0</v>
      </c>
      <c r="AR88" s="348"/>
      <c r="AS88" s="333" t="str">
        <f>+IF(AR88="si",15,"0")</f>
        <v>0</v>
      </c>
      <c r="AT88" s="348"/>
      <c r="AU88" s="333" t="str">
        <f>+IF(AT88="si",15,"0")</f>
        <v>0</v>
      </c>
      <c r="AV88" s="55"/>
      <c r="AW88" s="333" t="str">
        <f>+IF(AV88="Completa",10,IF(AV88="Incompleta",5,"0"))</f>
        <v>0</v>
      </c>
      <c r="AX88" s="81" t="str">
        <f t="shared" si="25"/>
        <v/>
      </c>
      <c r="AY88" s="81" t="str">
        <f t="shared" si="26"/>
        <v/>
      </c>
      <c r="AZ88" s="82"/>
      <c r="BA88" s="81" t="str">
        <f t="shared" si="23"/>
        <v/>
      </c>
      <c r="BB88" s="81" t="str">
        <f>IFERROR(VLOOKUP((CONCATENATE(AY88,BA88)),Listados!$U$3:$V$11,2,FALSE),"")</f>
        <v/>
      </c>
      <c r="BC88" s="81" t="str">
        <f t="shared" si="24"/>
        <v/>
      </c>
      <c r="BD88" s="563" t="e">
        <f>AVERAGE(BC88:BC91)</f>
        <v>#DIV/0!</v>
      </c>
      <c r="BE88" s="563" t="e">
        <f>IF(BD88&lt;=50,"Débil",IF(BD88&lt;=99,"Moderado",IF(BD88=100,"fuerte","")))</f>
        <v>#DIV/0!</v>
      </c>
      <c r="BF88" s="563" t="e">
        <f>+IF(AND(AI88="Preventivo",BE88="Fuerte"),2,IF(AND(AI88="Preventivo",BE88="Moderado"),1,0))</f>
        <v>#DIV/0!</v>
      </c>
      <c r="BG88" s="563" t="e">
        <f>+AC88-BF88</f>
        <v>#N/A</v>
      </c>
      <c r="BH88" s="556" t="e">
        <f>+VLOOKUP(MIN(BG88),Listados!$J$18:$K$24,2,TRUE)</f>
        <v>#N/A</v>
      </c>
      <c r="BI88" s="556" t="str">
        <f>AD88</f>
        <v/>
      </c>
      <c r="BJ88" s="556" t="e">
        <f>IF(AND(BH88&lt;&gt;"",BI88&lt;&gt;""),VLOOKUP(BH88&amp;BI88,Listados!$M$3:$N$27,2,FALSE),"")</f>
        <v>#N/A</v>
      </c>
      <c r="BK88" s="556" t="e">
        <f>+VLOOKUP(BJ88,Listados!$P$3:$Q$6,2,FALSE)</f>
        <v>#N/A</v>
      </c>
      <c r="BL88" s="336"/>
      <c r="BM88" s="336"/>
      <c r="BN88" s="339"/>
      <c r="BO88" s="361"/>
      <c r="BP88" s="336"/>
      <c r="BQ88" s="336"/>
      <c r="BR88" s="935"/>
      <c r="BS88" s="935"/>
      <c r="BT88" s="936"/>
      <c r="BU88" s="937"/>
      <c r="BV88" s="936"/>
      <c r="BW88" s="936"/>
    </row>
    <row r="89" spans="1:75">
      <c r="A89" s="927"/>
      <c r="B89" s="580"/>
      <c r="C89" s="582"/>
      <c r="D89" s="580"/>
      <c r="E89" s="375"/>
      <c r="F89" s="388"/>
      <c r="G89" s="348"/>
      <c r="H89" s="580"/>
      <c r="I89" s="580"/>
      <c r="J89" s="580"/>
      <c r="K89" s="580"/>
      <c r="L89" s="580"/>
      <c r="M89" s="580"/>
      <c r="N89" s="580"/>
      <c r="O89" s="580"/>
      <c r="P89" s="580"/>
      <c r="Q89" s="580"/>
      <c r="R89" s="580"/>
      <c r="S89" s="580"/>
      <c r="T89" s="580"/>
      <c r="U89" s="580"/>
      <c r="V89" s="580"/>
      <c r="W89" s="580"/>
      <c r="X89" s="580"/>
      <c r="Y89" s="580"/>
      <c r="Z89" s="580"/>
      <c r="AA89" s="582"/>
      <c r="AB89" s="573"/>
      <c r="AC89" s="565"/>
      <c r="AD89" s="565"/>
      <c r="AE89" s="565"/>
      <c r="AF89" s="565"/>
      <c r="AG89" s="376"/>
      <c r="AH89" s="386"/>
      <c r="AI89" s="348"/>
      <c r="AJ89" s="348"/>
      <c r="AK89" s="333" t="str">
        <f t="shared" si="41"/>
        <v>0</v>
      </c>
      <c r="AL89" s="348"/>
      <c r="AM89" s="333" t="str">
        <f t="shared" si="42"/>
        <v>0</v>
      </c>
      <c r="AN89" s="55"/>
      <c r="AO89" s="333" t="str">
        <f t="shared" si="43"/>
        <v>0</v>
      </c>
      <c r="AP89" s="348"/>
      <c r="AQ89" s="333" t="str">
        <f t="shared" si="44"/>
        <v>0</v>
      </c>
      <c r="AR89" s="348"/>
      <c r="AS89" s="333" t="str">
        <f t="shared" si="45"/>
        <v>0</v>
      </c>
      <c r="AT89" s="348"/>
      <c r="AU89" s="333" t="str">
        <f t="shared" si="46"/>
        <v>0</v>
      </c>
      <c r="AV89" s="55"/>
      <c r="AW89" s="333" t="str">
        <f t="shared" si="47"/>
        <v>0</v>
      </c>
      <c r="AX89" s="81" t="str">
        <f t="shared" si="25"/>
        <v/>
      </c>
      <c r="AY89" s="81" t="str">
        <f t="shared" si="26"/>
        <v/>
      </c>
      <c r="AZ89" s="82"/>
      <c r="BA89" s="81" t="str">
        <f t="shared" si="23"/>
        <v/>
      </c>
      <c r="BB89" s="81" t="str">
        <f>IFERROR(VLOOKUP((CONCATENATE(AY89,BA89)),Listados!$U$3:$V$11,2,FALSE),"")</f>
        <v/>
      </c>
      <c r="BC89" s="81" t="str">
        <f t="shared" si="24"/>
        <v/>
      </c>
      <c r="BD89" s="567"/>
      <c r="BE89" s="567"/>
      <c r="BF89" s="567"/>
      <c r="BG89" s="567"/>
      <c r="BH89" s="582"/>
      <c r="BI89" s="582"/>
      <c r="BJ89" s="582"/>
      <c r="BK89" s="582"/>
      <c r="BL89" s="336"/>
      <c r="BM89" s="336"/>
      <c r="BN89" s="336"/>
      <c r="BO89" s="336"/>
      <c r="BP89" s="336"/>
      <c r="BQ89" s="336"/>
      <c r="BR89" s="790"/>
      <c r="BS89" s="790"/>
      <c r="BT89" s="779"/>
      <c r="BU89" s="848"/>
      <c r="BV89" s="779"/>
      <c r="BW89" s="779"/>
    </row>
    <row r="90" spans="1:75">
      <c r="A90" s="927"/>
      <c r="B90" s="580"/>
      <c r="C90" s="582"/>
      <c r="D90" s="580"/>
      <c r="E90" s="375"/>
      <c r="F90" s="388"/>
      <c r="G90" s="348"/>
      <c r="H90" s="580"/>
      <c r="I90" s="580"/>
      <c r="J90" s="580"/>
      <c r="K90" s="580"/>
      <c r="L90" s="580"/>
      <c r="M90" s="580"/>
      <c r="N90" s="580"/>
      <c r="O90" s="580"/>
      <c r="P90" s="580"/>
      <c r="Q90" s="580"/>
      <c r="R90" s="580"/>
      <c r="S90" s="580"/>
      <c r="T90" s="580"/>
      <c r="U90" s="580"/>
      <c r="V90" s="580"/>
      <c r="W90" s="580"/>
      <c r="X90" s="580"/>
      <c r="Y90" s="580"/>
      <c r="Z90" s="580"/>
      <c r="AA90" s="582"/>
      <c r="AB90" s="573"/>
      <c r="AC90" s="565"/>
      <c r="AD90" s="565"/>
      <c r="AE90" s="565"/>
      <c r="AF90" s="565"/>
      <c r="AG90" s="376"/>
      <c r="AH90" s="347"/>
      <c r="AI90" s="348"/>
      <c r="AJ90" s="348"/>
      <c r="AK90" s="333" t="str">
        <f t="shared" si="41"/>
        <v>0</v>
      </c>
      <c r="AL90" s="348"/>
      <c r="AM90" s="333" t="str">
        <f t="shared" si="42"/>
        <v>0</v>
      </c>
      <c r="AN90" s="55"/>
      <c r="AO90" s="333" t="str">
        <f t="shared" si="43"/>
        <v>0</v>
      </c>
      <c r="AP90" s="348"/>
      <c r="AQ90" s="333" t="str">
        <f t="shared" si="44"/>
        <v>0</v>
      </c>
      <c r="AR90" s="348"/>
      <c r="AS90" s="333" t="str">
        <f t="shared" si="45"/>
        <v>0</v>
      </c>
      <c r="AT90" s="348"/>
      <c r="AU90" s="333" t="str">
        <f t="shared" si="46"/>
        <v>0</v>
      </c>
      <c r="AV90" s="55"/>
      <c r="AW90" s="333" t="str">
        <f t="shared" si="47"/>
        <v>0</v>
      </c>
      <c r="AX90" s="81" t="str">
        <f t="shared" si="25"/>
        <v/>
      </c>
      <c r="AY90" s="81" t="str">
        <f t="shared" si="26"/>
        <v/>
      </c>
      <c r="AZ90" s="82"/>
      <c r="BA90" s="81" t="str">
        <f t="shared" si="23"/>
        <v/>
      </c>
      <c r="BB90" s="81" t="str">
        <f>IFERROR(VLOOKUP((CONCATENATE(AY90,BA90)),Listados!$U$3:$V$11,2,FALSE),"")</f>
        <v/>
      </c>
      <c r="BC90" s="81" t="str">
        <f t="shared" si="24"/>
        <v/>
      </c>
      <c r="BD90" s="567"/>
      <c r="BE90" s="567"/>
      <c r="BF90" s="567"/>
      <c r="BG90" s="567"/>
      <c r="BH90" s="582"/>
      <c r="BI90" s="582"/>
      <c r="BJ90" s="582"/>
      <c r="BK90" s="582"/>
      <c r="BL90" s="336"/>
      <c r="BM90" s="336"/>
      <c r="BN90" s="339"/>
      <c r="BO90" s="339"/>
      <c r="BP90" s="336"/>
      <c r="BQ90" s="336"/>
      <c r="BR90" s="790"/>
      <c r="BS90" s="790"/>
      <c r="BT90" s="779"/>
      <c r="BU90" s="848"/>
      <c r="BV90" s="779"/>
      <c r="BW90" s="779"/>
    </row>
    <row r="91" spans="1:75">
      <c r="A91" s="928"/>
      <c r="B91" s="555"/>
      <c r="C91" s="557"/>
      <c r="D91" s="555"/>
      <c r="E91" s="375"/>
      <c r="F91" s="388"/>
      <c r="G91" s="348"/>
      <c r="H91" s="555"/>
      <c r="I91" s="555"/>
      <c r="J91" s="555"/>
      <c r="K91" s="555"/>
      <c r="L91" s="555"/>
      <c r="M91" s="555"/>
      <c r="N91" s="555"/>
      <c r="O91" s="555"/>
      <c r="P91" s="555"/>
      <c r="Q91" s="555"/>
      <c r="R91" s="555"/>
      <c r="S91" s="555"/>
      <c r="T91" s="555"/>
      <c r="U91" s="555"/>
      <c r="V91" s="555"/>
      <c r="W91" s="555"/>
      <c r="X91" s="555"/>
      <c r="Y91" s="555"/>
      <c r="Z91" s="555"/>
      <c r="AA91" s="557"/>
      <c r="AB91" s="573"/>
      <c r="AC91" s="565"/>
      <c r="AD91" s="565"/>
      <c r="AE91" s="565"/>
      <c r="AF91" s="565"/>
      <c r="AG91" s="376"/>
      <c r="AH91" s="347"/>
      <c r="AI91" s="348"/>
      <c r="AJ91" s="348"/>
      <c r="AK91" s="333" t="str">
        <f t="shared" si="41"/>
        <v>0</v>
      </c>
      <c r="AL91" s="348"/>
      <c r="AM91" s="333" t="str">
        <f t="shared" si="42"/>
        <v>0</v>
      </c>
      <c r="AN91" s="55"/>
      <c r="AO91" s="333" t="str">
        <f t="shared" si="43"/>
        <v>0</v>
      </c>
      <c r="AP91" s="348"/>
      <c r="AQ91" s="333" t="str">
        <f t="shared" si="44"/>
        <v>0</v>
      </c>
      <c r="AR91" s="348"/>
      <c r="AS91" s="333" t="str">
        <f t="shared" si="45"/>
        <v>0</v>
      </c>
      <c r="AT91" s="348"/>
      <c r="AU91" s="333" t="str">
        <f t="shared" si="46"/>
        <v>0</v>
      </c>
      <c r="AV91" s="55"/>
      <c r="AW91" s="333" t="str">
        <f t="shared" si="47"/>
        <v>0</v>
      </c>
      <c r="AX91" s="81" t="str">
        <f t="shared" si="25"/>
        <v/>
      </c>
      <c r="AY91" s="81" t="str">
        <f t="shared" si="26"/>
        <v/>
      </c>
      <c r="AZ91" s="82"/>
      <c r="BA91" s="81" t="str">
        <f t="shared" si="23"/>
        <v/>
      </c>
      <c r="BB91" s="81" t="str">
        <f>IFERROR(VLOOKUP((CONCATENATE(AY91,BA91)),Listados!$U$3:$V$11,2,FALSE),"")</f>
        <v/>
      </c>
      <c r="BC91" s="81" t="str">
        <f t="shared" si="24"/>
        <v/>
      </c>
      <c r="BD91" s="564"/>
      <c r="BE91" s="564"/>
      <c r="BF91" s="564"/>
      <c r="BG91" s="564"/>
      <c r="BH91" s="557"/>
      <c r="BI91" s="557"/>
      <c r="BJ91" s="557"/>
      <c r="BK91" s="557"/>
      <c r="BL91" s="336"/>
      <c r="BM91" s="336"/>
      <c r="BN91" s="339"/>
      <c r="BO91" s="339"/>
      <c r="BP91" s="336"/>
      <c r="BQ91" s="336"/>
      <c r="BR91" s="825"/>
      <c r="BS91" s="825"/>
      <c r="BT91" s="780"/>
      <c r="BU91" s="849"/>
      <c r="BV91" s="780"/>
      <c r="BW91" s="780"/>
    </row>
    <row r="92" spans="1:75">
      <c r="A92" s="929">
        <v>22</v>
      </c>
      <c r="B92" s="554"/>
      <c r="C92" s="556"/>
      <c r="D92" s="554"/>
      <c r="E92" s="375"/>
      <c r="F92" s="388"/>
      <c r="G92" s="348"/>
      <c r="H92" s="554"/>
      <c r="I92" s="554"/>
      <c r="J92" s="554"/>
      <c r="K92" s="554"/>
      <c r="L92" s="554"/>
      <c r="M92" s="554"/>
      <c r="N92" s="554"/>
      <c r="O92" s="554"/>
      <c r="P92" s="554"/>
      <c r="Q92" s="554"/>
      <c r="R92" s="554"/>
      <c r="S92" s="554"/>
      <c r="T92" s="554"/>
      <c r="U92" s="554"/>
      <c r="V92" s="554"/>
      <c r="W92" s="554"/>
      <c r="X92" s="554"/>
      <c r="Y92" s="554"/>
      <c r="Z92" s="554"/>
      <c r="AA92" s="556">
        <f>COUNTIF(H92:Z92, "SI")</f>
        <v>0</v>
      </c>
      <c r="AB92" s="573"/>
      <c r="AC92" s="565" t="e">
        <f>+VLOOKUP(AB92,Listados!$K$8:$L$12,2,0)</f>
        <v>#N/A</v>
      </c>
      <c r="AD92" s="565" t="str">
        <f>++IF(OR(AA92=0),"",IF(OR(AA92=1,AA92&lt;=5),"Moderado",IF(OR(AA92=6,AA92&lt;=11),"Mayor",IF(OR(AA92&gt;=12),"Catastrófico",""))))</f>
        <v/>
      </c>
      <c r="AE92" s="565" t="e">
        <f>+VLOOKUP(AD92,Listados!$K$13:$L$17,2,0)</f>
        <v>#N/A</v>
      </c>
      <c r="AF92" s="565" t="str">
        <f>IF(AND(AB92&lt;&gt;"",AD92&lt;&gt;""),VLOOKUP(AB92&amp;AD92,[3]Listados!$M$3:$N$27,2,FALSE),"")</f>
        <v/>
      </c>
      <c r="AG92" s="376"/>
      <c r="AH92" s="386"/>
      <c r="AI92" s="348"/>
      <c r="AJ92" s="348"/>
      <c r="AK92" s="333" t="str">
        <f>+IF(AJ92="si",15,"0")</f>
        <v>0</v>
      </c>
      <c r="AL92" s="348"/>
      <c r="AM92" s="333" t="str">
        <f>+IF(AL92="si",15,"0")</f>
        <v>0</v>
      </c>
      <c r="AN92" s="55"/>
      <c r="AO92" s="333" t="str">
        <f>+IF(AN92="si",15,"0")</f>
        <v>0</v>
      </c>
      <c r="AP92" s="348"/>
      <c r="AQ92" s="333" t="str">
        <f>+IF(AP92="Preventivo",15,IF(AP92="Detectivo",10,"0"))</f>
        <v>0</v>
      </c>
      <c r="AR92" s="348"/>
      <c r="AS92" s="333" t="str">
        <f>+IF(AR92="si",15,"0")</f>
        <v>0</v>
      </c>
      <c r="AT92" s="348"/>
      <c r="AU92" s="333" t="str">
        <f>+IF(AT92="si",15,"0")</f>
        <v>0</v>
      </c>
      <c r="AV92" s="55"/>
      <c r="AW92" s="333" t="str">
        <f>+IF(AV92="Completa",10,IF(AV92="Incompleta",5,"0"))</f>
        <v>0</v>
      </c>
      <c r="AX92" s="81" t="str">
        <f t="shared" ref="AX92:AX123" si="48">IF((SUM(AK92,AM92,AO92,AQ92,AS92,AU92,AW92)=0),"",(SUM(AK92,AM92,AO92,AQ92,AS92,AU92,AW92)))</f>
        <v/>
      </c>
      <c r="AY92" s="81" t="str">
        <f t="shared" ref="AY92:AY123" si="49">IF(AX92&lt;=85,"Débil",IF(AX92&lt;=95,"Moderado",IF(AX92=100,"Fuerte","")))</f>
        <v/>
      </c>
      <c r="AZ92" s="82"/>
      <c r="BA92" s="81" t="str">
        <f t="shared" si="23"/>
        <v/>
      </c>
      <c r="BB92" s="81" t="str">
        <f>IFERROR(VLOOKUP((CONCATENATE(AY92,BA92)),Listados!$U$3:$V$11,2,FALSE),"")</f>
        <v/>
      </c>
      <c r="BC92" s="81" t="str">
        <f t="shared" si="24"/>
        <v/>
      </c>
      <c r="BD92" s="563" t="e">
        <f>AVERAGE(BC92:BC95)</f>
        <v>#DIV/0!</v>
      </c>
      <c r="BE92" s="563" t="e">
        <f>IF(BD92&lt;=50,"Débil",IF(BD92&lt;=99,"Moderado",IF(BD92=100,"fuerte","")))</f>
        <v>#DIV/0!</v>
      </c>
      <c r="BF92" s="563" t="e">
        <f>+IF(AND(AI92="Preventivo",BE92="Fuerte"),2,IF(AND(AI92="Preventivo",BE92="Moderado"),1,0))</f>
        <v>#DIV/0!</v>
      </c>
      <c r="BG92" s="563" t="e">
        <f>+AC92-BF92</f>
        <v>#N/A</v>
      </c>
      <c r="BH92" s="556" t="e">
        <f>+VLOOKUP(MIN(BG92),Listados!$J$18:$K$24,2,TRUE)</f>
        <v>#N/A</v>
      </c>
      <c r="BI92" s="556" t="str">
        <f>AD92</f>
        <v/>
      </c>
      <c r="BJ92" s="556" t="e">
        <f>IF(AND(BH92&lt;&gt;"",BI92&lt;&gt;""),VLOOKUP(BH92&amp;BI92,Listados!$M$3:$N$27,2,FALSE),"")</f>
        <v>#N/A</v>
      </c>
      <c r="BK92" s="556" t="e">
        <f>+VLOOKUP(BJ92,Listados!$P$3:$Q$6,2,FALSE)</f>
        <v>#N/A</v>
      </c>
      <c r="BL92" s="336"/>
      <c r="BM92" s="336"/>
      <c r="BN92" s="339"/>
      <c r="BO92" s="361"/>
      <c r="BP92" s="336"/>
      <c r="BQ92" s="336"/>
      <c r="BR92" s="935"/>
      <c r="BS92" s="935"/>
      <c r="BT92" s="936"/>
      <c r="BU92" s="937"/>
      <c r="BV92" s="936"/>
      <c r="BW92" s="936"/>
    </row>
    <row r="93" spans="1:75">
      <c r="A93" s="927"/>
      <c r="B93" s="580"/>
      <c r="C93" s="582"/>
      <c r="D93" s="580"/>
      <c r="E93" s="375"/>
      <c r="F93" s="388"/>
      <c r="G93" s="348"/>
      <c r="H93" s="580"/>
      <c r="I93" s="580"/>
      <c r="J93" s="580"/>
      <c r="K93" s="580"/>
      <c r="L93" s="580"/>
      <c r="M93" s="580"/>
      <c r="N93" s="580"/>
      <c r="O93" s="580"/>
      <c r="P93" s="580"/>
      <c r="Q93" s="580"/>
      <c r="R93" s="580"/>
      <c r="S93" s="580"/>
      <c r="T93" s="580"/>
      <c r="U93" s="580"/>
      <c r="V93" s="580"/>
      <c r="W93" s="580"/>
      <c r="X93" s="580"/>
      <c r="Y93" s="580"/>
      <c r="Z93" s="580"/>
      <c r="AA93" s="582"/>
      <c r="AB93" s="573"/>
      <c r="AC93" s="565"/>
      <c r="AD93" s="565"/>
      <c r="AE93" s="565"/>
      <c r="AF93" s="565"/>
      <c r="AG93" s="376"/>
      <c r="AH93" s="386"/>
      <c r="AI93" s="348"/>
      <c r="AJ93" s="348"/>
      <c r="AK93" s="333" t="str">
        <f t="shared" si="41"/>
        <v>0</v>
      </c>
      <c r="AL93" s="348"/>
      <c r="AM93" s="333" t="str">
        <f t="shared" si="42"/>
        <v>0</v>
      </c>
      <c r="AN93" s="55"/>
      <c r="AO93" s="333" t="str">
        <f t="shared" si="43"/>
        <v>0</v>
      </c>
      <c r="AP93" s="348"/>
      <c r="AQ93" s="333" t="str">
        <f t="shared" si="44"/>
        <v>0</v>
      </c>
      <c r="AR93" s="348"/>
      <c r="AS93" s="333" t="str">
        <f t="shared" si="45"/>
        <v>0</v>
      </c>
      <c r="AT93" s="348"/>
      <c r="AU93" s="333" t="str">
        <f t="shared" si="46"/>
        <v>0</v>
      </c>
      <c r="AV93" s="55"/>
      <c r="AW93" s="333" t="str">
        <f t="shared" si="47"/>
        <v>0</v>
      </c>
      <c r="AX93" s="81" t="str">
        <f t="shared" si="48"/>
        <v/>
      </c>
      <c r="AY93" s="81" t="str">
        <f t="shared" si="49"/>
        <v/>
      </c>
      <c r="AZ93" s="82"/>
      <c r="BA93" s="81" t="str">
        <f t="shared" ref="BA93:BA127" si="50">+IF(AZ93="siempre","Fuerte",IF(AZ93="Algunas veces","Moderado",IF(AZ93="No se ejecuta","Débil","")))</f>
        <v/>
      </c>
      <c r="BB93" s="81" t="str">
        <f>IFERROR(VLOOKUP((CONCATENATE(AY93,BA93)),Listados!$U$3:$V$11,2,FALSE),"")</f>
        <v/>
      </c>
      <c r="BC93" s="81" t="str">
        <f t="shared" ref="BC93:BC127" si="51">IF(BB93="","",IF(BB93="Débil", 0, IF(BB93="Moderado",50,100)))</f>
        <v/>
      </c>
      <c r="BD93" s="567"/>
      <c r="BE93" s="567"/>
      <c r="BF93" s="567"/>
      <c r="BG93" s="567"/>
      <c r="BH93" s="582"/>
      <c r="BI93" s="582"/>
      <c r="BJ93" s="582"/>
      <c r="BK93" s="582"/>
      <c r="BL93" s="336"/>
      <c r="BM93" s="336"/>
      <c r="BN93" s="336"/>
      <c r="BO93" s="336"/>
      <c r="BP93" s="336"/>
      <c r="BQ93" s="336"/>
      <c r="BR93" s="790"/>
      <c r="BS93" s="790"/>
      <c r="BT93" s="779"/>
      <c r="BU93" s="848"/>
      <c r="BV93" s="779"/>
      <c r="BW93" s="779"/>
    </row>
    <row r="94" spans="1:75">
      <c r="A94" s="927"/>
      <c r="B94" s="580"/>
      <c r="C94" s="582"/>
      <c r="D94" s="580"/>
      <c r="E94" s="375"/>
      <c r="F94" s="388"/>
      <c r="G94" s="348"/>
      <c r="H94" s="580"/>
      <c r="I94" s="580"/>
      <c r="J94" s="580"/>
      <c r="K94" s="580"/>
      <c r="L94" s="580"/>
      <c r="M94" s="580"/>
      <c r="N94" s="580"/>
      <c r="O94" s="580"/>
      <c r="P94" s="580"/>
      <c r="Q94" s="580"/>
      <c r="R94" s="580"/>
      <c r="S94" s="580"/>
      <c r="T94" s="580"/>
      <c r="U94" s="580"/>
      <c r="V94" s="580"/>
      <c r="W94" s="580"/>
      <c r="X94" s="580"/>
      <c r="Y94" s="580"/>
      <c r="Z94" s="580"/>
      <c r="AA94" s="582"/>
      <c r="AB94" s="573"/>
      <c r="AC94" s="565"/>
      <c r="AD94" s="565"/>
      <c r="AE94" s="565"/>
      <c r="AF94" s="565"/>
      <c r="AG94" s="376"/>
      <c r="AH94" s="347"/>
      <c r="AI94" s="348"/>
      <c r="AJ94" s="348"/>
      <c r="AK94" s="333" t="str">
        <f t="shared" si="41"/>
        <v>0</v>
      </c>
      <c r="AL94" s="348"/>
      <c r="AM94" s="333" t="str">
        <f t="shared" si="42"/>
        <v>0</v>
      </c>
      <c r="AN94" s="55"/>
      <c r="AO94" s="333" t="str">
        <f t="shared" si="43"/>
        <v>0</v>
      </c>
      <c r="AP94" s="348"/>
      <c r="AQ94" s="333" t="str">
        <f t="shared" si="44"/>
        <v>0</v>
      </c>
      <c r="AR94" s="348"/>
      <c r="AS94" s="333" t="str">
        <f t="shared" si="45"/>
        <v>0</v>
      </c>
      <c r="AT94" s="348"/>
      <c r="AU94" s="333" t="str">
        <f t="shared" si="46"/>
        <v>0</v>
      </c>
      <c r="AV94" s="55"/>
      <c r="AW94" s="333" t="str">
        <f t="shared" si="47"/>
        <v>0</v>
      </c>
      <c r="AX94" s="81" t="str">
        <f t="shared" si="48"/>
        <v/>
      </c>
      <c r="AY94" s="81" t="str">
        <f t="shared" si="49"/>
        <v/>
      </c>
      <c r="AZ94" s="82"/>
      <c r="BA94" s="81" t="str">
        <f t="shared" si="50"/>
        <v/>
      </c>
      <c r="BB94" s="81" t="str">
        <f>IFERROR(VLOOKUP((CONCATENATE(AY94,BA94)),Listados!$U$3:$V$11,2,FALSE),"")</f>
        <v/>
      </c>
      <c r="BC94" s="81" t="str">
        <f t="shared" si="51"/>
        <v/>
      </c>
      <c r="BD94" s="567"/>
      <c r="BE94" s="567"/>
      <c r="BF94" s="567"/>
      <c r="BG94" s="567"/>
      <c r="BH94" s="582"/>
      <c r="BI94" s="582"/>
      <c r="BJ94" s="582"/>
      <c r="BK94" s="582"/>
      <c r="BL94" s="336"/>
      <c r="BM94" s="336"/>
      <c r="BN94" s="339"/>
      <c r="BO94" s="339"/>
      <c r="BP94" s="336"/>
      <c r="BQ94" s="336"/>
      <c r="BR94" s="790"/>
      <c r="BS94" s="790"/>
      <c r="BT94" s="779"/>
      <c r="BU94" s="848"/>
      <c r="BV94" s="779"/>
      <c r="BW94" s="779"/>
    </row>
    <row r="95" spans="1:75">
      <c r="A95" s="928"/>
      <c r="B95" s="555"/>
      <c r="C95" s="557"/>
      <c r="D95" s="555"/>
      <c r="E95" s="375"/>
      <c r="F95" s="388"/>
      <c r="G95" s="348"/>
      <c r="H95" s="555"/>
      <c r="I95" s="555"/>
      <c r="J95" s="555"/>
      <c r="K95" s="555"/>
      <c r="L95" s="555"/>
      <c r="M95" s="555"/>
      <c r="N95" s="555"/>
      <c r="O95" s="555"/>
      <c r="P95" s="555"/>
      <c r="Q95" s="555"/>
      <c r="R95" s="555"/>
      <c r="S95" s="555"/>
      <c r="T95" s="555"/>
      <c r="U95" s="555"/>
      <c r="V95" s="555"/>
      <c r="W95" s="555"/>
      <c r="X95" s="555"/>
      <c r="Y95" s="555"/>
      <c r="Z95" s="555"/>
      <c r="AA95" s="557"/>
      <c r="AB95" s="573"/>
      <c r="AC95" s="565"/>
      <c r="AD95" s="565"/>
      <c r="AE95" s="565"/>
      <c r="AF95" s="565"/>
      <c r="AG95" s="376"/>
      <c r="AH95" s="347"/>
      <c r="AI95" s="348"/>
      <c r="AJ95" s="348"/>
      <c r="AK95" s="333" t="str">
        <f t="shared" si="41"/>
        <v>0</v>
      </c>
      <c r="AL95" s="348"/>
      <c r="AM95" s="333" t="str">
        <f t="shared" si="42"/>
        <v>0</v>
      </c>
      <c r="AN95" s="55"/>
      <c r="AO95" s="333" t="str">
        <f t="shared" si="43"/>
        <v>0</v>
      </c>
      <c r="AP95" s="348"/>
      <c r="AQ95" s="333" t="str">
        <f t="shared" si="44"/>
        <v>0</v>
      </c>
      <c r="AR95" s="348"/>
      <c r="AS95" s="333" t="str">
        <f t="shared" si="45"/>
        <v>0</v>
      </c>
      <c r="AT95" s="348"/>
      <c r="AU95" s="333" t="str">
        <f t="shared" si="46"/>
        <v>0</v>
      </c>
      <c r="AV95" s="55"/>
      <c r="AW95" s="333" t="str">
        <f t="shared" si="47"/>
        <v>0</v>
      </c>
      <c r="AX95" s="81" t="str">
        <f t="shared" si="48"/>
        <v/>
      </c>
      <c r="AY95" s="81" t="str">
        <f t="shared" si="49"/>
        <v/>
      </c>
      <c r="AZ95" s="82"/>
      <c r="BA95" s="81" t="str">
        <f t="shared" si="50"/>
        <v/>
      </c>
      <c r="BB95" s="81" t="str">
        <f>IFERROR(VLOOKUP((CONCATENATE(AY95,BA95)),Listados!$U$3:$V$11,2,FALSE),"")</f>
        <v/>
      </c>
      <c r="BC95" s="81" t="str">
        <f t="shared" si="51"/>
        <v/>
      </c>
      <c r="BD95" s="564"/>
      <c r="BE95" s="564"/>
      <c r="BF95" s="564"/>
      <c r="BG95" s="564"/>
      <c r="BH95" s="557"/>
      <c r="BI95" s="557"/>
      <c r="BJ95" s="557"/>
      <c r="BK95" s="557"/>
      <c r="BL95" s="336"/>
      <c r="BM95" s="336"/>
      <c r="BN95" s="339"/>
      <c r="BO95" s="339"/>
      <c r="BP95" s="336"/>
      <c r="BQ95" s="336"/>
      <c r="BR95" s="825"/>
      <c r="BS95" s="825"/>
      <c r="BT95" s="780"/>
      <c r="BU95" s="849"/>
      <c r="BV95" s="780"/>
      <c r="BW95" s="780"/>
    </row>
    <row r="96" spans="1:75">
      <c r="A96" s="930">
        <v>23</v>
      </c>
      <c r="B96" s="554"/>
      <c r="C96" s="556"/>
      <c r="D96" s="554"/>
      <c r="E96" s="375"/>
      <c r="F96" s="388"/>
      <c r="G96" s="348"/>
      <c r="H96" s="554"/>
      <c r="I96" s="554"/>
      <c r="J96" s="554"/>
      <c r="K96" s="554"/>
      <c r="L96" s="554"/>
      <c r="M96" s="554"/>
      <c r="N96" s="554"/>
      <c r="O96" s="554"/>
      <c r="P96" s="554"/>
      <c r="Q96" s="554"/>
      <c r="R96" s="554"/>
      <c r="S96" s="554"/>
      <c r="T96" s="554"/>
      <c r="U96" s="554"/>
      <c r="V96" s="554"/>
      <c r="W96" s="554"/>
      <c r="X96" s="554"/>
      <c r="Y96" s="554"/>
      <c r="Z96" s="554"/>
      <c r="AA96" s="556">
        <f>COUNTIF(H96:Z96, "SI")</f>
        <v>0</v>
      </c>
      <c r="AB96" s="573"/>
      <c r="AC96" s="565" t="e">
        <f>+VLOOKUP(AB96,Listados!$K$8:$L$12,2,0)</f>
        <v>#N/A</v>
      </c>
      <c r="AD96" s="565" t="str">
        <f>++IF(OR(AA96=0),"",IF(OR(AA96=1,AA96&lt;=5),"Moderado",IF(OR(AA96=6,AA96&lt;=11),"Mayor",IF(OR(AA96&gt;=12),"Catastrófico",""))))</f>
        <v/>
      </c>
      <c r="AE96" s="565" t="e">
        <f>+VLOOKUP(AD96,Listados!$K$13:$L$17,2,0)</f>
        <v>#N/A</v>
      </c>
      <c r="AF96" s="565" t="str">
        <f>IF(AND(AB96&lt;&gt;"",AD96&lt;&gt;""),VLOOKUP(AB96&amp;AD96,[3]Listados!$M$3:$N$27,2,FALSE),"")</f>
        <v/>
      </c>
      <c r="AG96" s="376"/>
      <c r="AH96" s="386"/>
      <c r="AI96" s="348"/>
      <c r="AJ96" s="348"/>
      <c r="AK96" s="333" t="str">
        <f>+IF(AJ96="si",15,"0")</f>
        <v>0</v>
      </c>
      <c r="AL96" s="348"/>
      <c r="AM96" s="333" t="str">
        <f>+IF(AL96="si",15,"0")</f>
        <v>0</v>
      </c>
      <c r="AN96" s="55"/>
      <c r="AO96" s="333" t="str">
        <f>+IF(AN96="si",15,"0")</f>
        <v>0</v>
      </c>
      <c r="AP96" s="348"/>
      <c r="AQ96" s="333" t="str">
        <f>+IF(AP96="Preventivo",15,IF(AP96="Detectivo",10,"0"))</f>
        <v>0</v>
      </c>
      <c r="AR96" s="348"/>
      <c r="AS96" s="333" t="str">
        <f>+IF(AR96="si",15,"0")</f>
        <v>0</v>
      </c>
      <c r="AT96" s="348"/>
      <c r="AU96" s="333" t="str">
        <f>+IF(AT96="si",15,"0")</f>
        <v>0</v>
      </c>
      <c r="AV96" s="55"/>
      <c r="AW96" s="333" t="str">
        <f>+IF(AV96="Completa",10,IF(AV96="Incompleta",5,"0"))</f>
        <v>0</v>
      </c>
      <c r="AX96" s="81" t="str">
        <f t="shared" si="48"/>
        <v/>
      </c>
      <c r="AY96" s="81" t="str">
        <f t="shared" si="49"/>
        <v/>
      </c>
      <c r="AZ96" s="82"/>
      <c r="BA96" s="81" t="str">
        <f t="shared" si="50"/>
        <v/>
      </c>
      <c r="BB96" s="81" t="str">
        <f>IFERROR(VLOOKUP((CONCATENATE(AY96,BA96)),Listados!$U$3:$V$11,2,FALSE),"")</f>
        <v/>
      </c>
      <c r="BC96" s="81" t="str">
        <f t="shared" si="51"/>
        <v/>
      </c>
      <c r="BD96" s="563" t="e">
        <f>AVERAGE(BC96:BC99)</f>
        <v>#DIV/0!</v>
      </c>
      <c r="BE96" s="563" t="e">
        <f>IF(BD96&lt;=50,"Débil",IF(BD96&lt;=99,"Moderado",IF(BD96=100,"fuerte","")))</f>
        <v>#DIV/0!</v>
      </c>
      <c r="BF96" s="563" t="e">
        <f>+IF(AND(AI96="Preventivo",BE96="Fuerte"),2,IF(AND(AI96="Preventivo",BE96="Moderado"),1,0))</f>
        <v>#DIV/0!</v>
      </c>
      <c r="BG96" s="563" t="e">
        <f>+AC96-BF96</f>
        <v>#N/A</v>
      </c>
      <c r="BH96" s="556" t="e">
        <f>+VLOOKUP(MIN(BG96),Listados!$J$18:$K$24,2,TRUE)</f>
        <v>#N/A</v>
      </c>
      <c r="BI96" s="556" t="str">
        <f>AD96</f>
        <v/>
      </c>
      <c r="BJ96" s="556" t="e">
        <f>IF(AND(BH96&lt;&gt;"",BI96&lt;&gt;""),VLOOKUP(BH96&amp;BI96,Listados!$M$3:$N$27,2,FALSE),"")</f>
        <v>#N/A</v>
      </c>
      <c r="BK96" s="556" t="e">
        <f>+VLOOKUP(BJ96,Listados!$P$3:$Q$6,2,FALSE)</f>
        <v>#N/A</v>
      </c>
      <c r="BL96" s="336"/>
      <c r="BM96" s="336"/>
      <c r="BN96" s="339"/>
      <c r="BO96" s="361"/>
      <c r="BP96" s="336"/>
      <c r="BQ96" s="336"/>
      <c r="BR96" s="935"/>
      <c r="BS96" s="935"/>
      <c r="BT96" s="936"/>
      <c r="BU96" s="937"/>
      <c r="BV96" s="936"/>
      <c r="BW96" s="936"/>
    </row>
    <row r="97" spans="1:75">
      <c r="A97" s="931"/>
      <c r="B97" s="580"/>
      <c r="C97" s="582"/>
      <c r="D97" s="580"/>
      <c r="E97" s="375"/>
      <c r="F97" s="388"/>
      <c r="G97" s="348"/>
      <c r="H97" s="580"/>
      <c r="I97" s="580"/>
      <c r="J97" s="580"/>
      <c r="K97" s="580"/>
      <c r="L97" s="580"/>
      <c r="M97" s="580"/>
      <c r="N97" s="580"/>
      <c r="O97" s="580"/>
      <c r="P97" s="580"/>
      <c r="Q97" s="580"/>
      <c r="R97" s="580"/>
      <c r="S97" s="580"/>
      <c r="T97" s="580"/>
      <c r="U97" s="580"/>
      <c r="V97" s="580"/>
      <c r="W97" s="580"/>
      <c r="X97" s="580"/>
      <c r="Y97" s="580"/>
      <c r="Z97" s="580"/>
      <c r="AA97" s="582"/>
      <c r="AB97" s="573"/>
      <c r="AC97" s="565"/>
      <c r="AD97" s="565"/>
      <c r="AE97" s="565"/>
      <c r="AF97" s="565"/>
      <c r="AG97" s="376"/>
      <c r="AH97" s="386"/>
      <c r="AI97" s="348"/>
      <c r="AJ97" s="348"/>
      <c r="AK97" s="333" t="str">
        <f t="shared" si="41"/>
        <v>0</v>
      </c>
      <c r="AL97" s="348"/>
      <c r="AM97" s="333" t="str">
        <f t="shared" si="42"/>
        <v>0</v>
      </c>
      <c r="AN97" s="55"/>
      <c r="AO97" s="333" t="str">
        <f t="shared" si="43"/>
        <v>0</v>
      </c>
      <c r="AP97" s="348"/>
      <c r="AQ97" s="333" t="str">
        <f t="shared" si="44"/>
        <v>0</v>
      </c>
      <c r="AR97" s="348"/>
      <c r="AS97" s="333" t="str">
        <f t="shared" si="45"/>
        <v>0</v>
      </c>
      <c r="AT97" s="348"/>
      <c r="AU97" s="333" t="str">
        <f t="shared" si="46"/>
        <v>0</v>
      </c>
      <c r="AV97" s="55"/>
      <c r="AW97" s="333" t="str">
        <f t="shared" si="47"/>
        <v>0</v>
      </c>
      <c r="AX97" s="81" t="str">
        <f t="shared" si="48"/>
        <v/>
      </c>
      <c r="AY97" s="81" t="str">
        <f t="shared" si="49"/>
        <v/>
      </c>
      <c r="AZ97" s="82"/>
      <c r="BA97" s="81" t="str">
        <f t="shared" si="50"/>
        <v/>
      </c>
      <c r="BB97" s="81" t="str">
        <f>IFERROR(VLOOKUP((CONCATENATE(AY97,BA97)),Listados!$U$3:$V$11,2,FALSE),"")</f>
        <v/>
      </c>
      <c r="BC97" s="81" t="str">
        <f t="shared" si="51"/>
        <v/>
      </c>
      <c r="BD97" s="567"/>
      <c r="BE97" s="567"/>
      <c r="BF97" s="567"/>
      <c r="BG97" s="567"/>
      <c r="BH97" s="582"/>
      <c r="BI97" s="582"/>
      <c r="BJ97" s="582"/>
      <c r="BK97" s="582"/>
      <c r="BL97" s="336"/>
      <c r="BM97" s="336"/>
      <c r="BN97" s="336"/>
      <c r="BO97" s="336"/>
      <c r="BP97" s="336"/>
      <c r="BQ97" s="336"/>
      <c r="BR97" s="790"/>
      <c r="BS97" s="790"/>
      <c r="BT97" s="779"/>
      <c r="BU97" s="848"/>
      <c r="BV97" s="779"/>
      <c r="BW97" s="779"/>
    </row>
    <row r="98" spans="1:75">
      <c r="A98" s="931"/>
      <c r="B98" s="580"/>
      <c r="C98" s="582"/>
      <c r="D98" s="580"/>
      <c r="E98" s="375"/>
      <c r="F98" s="388"/>
      <c r="G98" s="348"/>
      <c r="H98" s="580"/>
      <c r="I98" s="580"/>
      <c r="J98" s="580"/>
      <c r="K98" s="580"/>
      <c r="L98" s="580"/>
      <c r="M98" s="580"/>
      <c r="N98" s="580"/>
      <c r="O98" s="580"/>
      <c r="P98" s="580"/>
      <c r="Q98" s="580"/>
      <c r="R98" s="580"/>
      <c r="S98" s="580"/>
      <c r="T98" s="580"/>
      <c r="U98" s="580"/>
      <c r="V98" s="580"/>
      <c r="W98" s="580"/>
      <c r="X98" s="580"/>
      <c r="Y98" s="580"/>
      <c r="Z98" s="580"/>
      <c r="AA98" s="582"/>
      <c r="AB98" s="573"/>
      <c r="AC98" s="565"/>
      <c r="AD98" s="565"/>
      <c r="AE98" s="565"/>
      <c r="AF98" s="565"/>
      <c r="AG98" s="376"/>
      <c r="AH98" s="347"/>
      <c r="AI98" s="348"/>
      <c r="AJ98" s="348"/>
      <c r="AK98" s="333" t="str">
        <f t="shared" si="41"/>
        <v>0</v>
      </c>
      <c r="AL98" s="348"/>
      <c r="AM98" s="333" t="str">
        <f t="shared" si="42"/>
        <v>0</v>
      </c>
      <c r="AN98" s="55"/>
      <c r="AO98" s="333" t="str">
        <f t="shared" si="43"/>
        <v>0</v>
      </c>
      <c r="AP98" s="348"/>
      <c r="AQ98" s="333" t="str">
        <f t="shared" si="44"/>
        <v>0</v>
      </c>
      <c r="AR98" s="348"/>
      <c r="AS98" s="333" t="str">
        <f t="shared" si="45"/>
        <v>0</v>
      </c>
      <c r="AT98" s="348"/>
      <c r="AU98" s="333" t="str">
        <f t="shared" si="46"/>
        <v>0</v>
      </c>
      <c r="AV98" s="55"/>
      <c r="AW98" s="333" t="str">
        <f t="shared" si="47"/>
        <v>0</v>
      </c>
      <c r="AX98" s="81" t="str">
        <f t="shared" si="48"/>
        <v/>
      </c>
      <c r="AY98" s="81" t="str">
        <f t="shared" si="49"/>
        <v/>
      </c>
      <c r="AZ98" s="82"/>
      <c r="BA98" s="81" t="str">
        <f t="shared" si="50"/>
        <v/>
      </c>
      <c r="BB98" s="81" t="str">
        <f>IFERROR(VLOOKUP((CONCATENATE(AY98,BA98)),Listados!$U$3:$V$11,2,FALSE),"")</f>
        <v/>
      </c>
      <c r="BC98" s="81" t="str">
        <f t="shared" si="51"/>
        <v/>
      </c>
      <c r="BD98" s="567"/>
      <c r="BE98" s="567"/>
      <c r="BF98" s="567"/>
      <c r="BG98" s="567"/>
      <c r="BH98" s="582"/>
      <c r="BI98" s="582"/>
      <c r="BJ98" s="582"/>
      <c r="BK98" s="582"/>
      <c r="BL98" s="336"/>
      <c r="BM98" s="336"/>
      <c r="BN98" s="339"/>
      <c r="BO98" s="339"/>
      <c r="BP98" s="336"/>
      <c r="BQ98" s="336"/>
      <c r="BR98" s="790"/>
      <c r="BS98" s="790"/>
      <c r="BT98" s="779"/>
      <c r="BU98" s="848"/>
      <c r="BV98" s="779"/>
      <c r="BW98" s="779"/>
    </row>
    <row r="99" spans="1:75">
      <c r="A99" s="932"/>
      <c r="B99" s="555"/>
      <c r="C99" s="557"/>
      <c r="D99" s="555"/>
      <c r="E99" s="375"/>
      <c r="F99" s="388"/>
      <c r="G99" s="348"/>
      <c r="H99" s="555"/>
      <c r="I99" s="555"/>
      <c r="J99" s="555"/>
      <c r="K99" s="555"/>
      <c r="L99" s="555"/>
      <c r="M99" s="555"/>
      <c r="N99" s="555"/>
      <c r="O99" s="555"/>
      <c r="P99" s="555"/>
      <c r="Q99" s="555"/>
      <c r="R99" s="555"/>
      <c r="S99" s="555"/>
      <c r="T99" s="555"/>
      <c r="U99" s="555"/>
      <c r="V99" s="555"/>
      <c r="W99" s="555"/>
      <c r="X99" s="555"/>
      <c r="Y99" s="555"/>
      <c r="Z99" s="555"/>
      <c r="AA99" s="557"/>
      <c r="AB99" s="573"/>
      <c r="AC99" s="565"/>
      <c r="AD99" s="565"/>
      <c r="AE99" s="565"/>
      <c r="AF99" s="565"/>
      <c r="AG99" s="376"/>
      <c r="AH99" s="347"/>
      <c r="AI99" s="348"/>
      <c r="AJ99" s="348"/>
      <c r="AK99" s="333" t="str">
        <f t="shared" si="41"/>
        <v>0</v>
      </c>
      <c r="AL99" s="348"/>
      <c r="AM99" s="333" t="str">
        <f t="shared" si="42"/>
        <v>0</v>
      </c>
      <c r="AN99" s="55"/>
      <c r="AO99" s="333" t="str">
        <f t="shared" si="43"/>
        <v>0</v>
      </c>
      <c r="AP99" s="348"/>
      <c r="AQ99" s="333" t="str">
        <f t="shared" si="44"/>
        <v>0</v>
      </c>
      <c r="AR99" s="348"/>
      <c r="AS99" s="333" t="str">
        <f t="shared" si="45"/>
        <v>0</v>
      </c>
      <c r="AT99" s="348"/>
      <c r="AU99" s="333" t="str">
        <f t="shared" si="46"/>
        <v>0</v>
      </c>
      <c r="AV99" s="55"/>
      <c r="AW99" s="333" t="str">
        <f t="shared" si="47"/>
        <v>0</v>
      </c>
      <c r="AX99" s="81" t="str">
        <f t="shared" si="48"/>
        <v/>
      </c>
      <c r="AY99" s="81" t="str">
        <f t="shared" si="49"/>
        <v/>
      </c>
      <c r="AZ99" s="82"/>
      <c r="BA99" s="81" t="str">
        <f t="shared" si="50"/>
        <v/>
      </c>
      <c r="BB99" s="81" t="str">
        <f>IFERROR(VLOOKUP((CONCATENATE(AY99,BA99)),Listados!$U$3:$V$11,2,FALSE),"")</f>
        <v/>
      </c>
      <c r="BC99" s="81" t="str">
        <f t="shared" si="51"/>
        <v/>
      </c>
      <c r="BD99" s="564"/>
      <c r="BE99" s="564"/>
      <c r="BF99" s="564"/>
      <c r="BG99" s="564"/>
      <c r="BH99" s="557"/>
      <c r="BI99" s="557"/>
      <c r="BJ99" s="557"/>
      <c r="BK99" s="557"/>
      <c r="BL99" s="336"/>
      <c r="BM99" s="336"/>
      <c r="BN99" s="339"/>
      <c r="BO99" s="339"/>
      <c r="BP99" s="336"/>
      <c r="BQ99" s="336"/>
      <c r="BR99" s="825"/>
      <c r="BS99" s="825"/>
      <c r="BT99" s="780"/>
      <c r="BU99" s="849"/>
      <c r="BV99" s="780"/>
      <c r="BW99" s="780"/>
    </row>
    <row r="100" spans="1:75">
      <c r="A100" s="930">
        <v>24</v>
      </c>
      <c r="B100" s="554"/>
      <c r="C100" s="556"/>
      <c r="D100" s="554"/>
      <c r="E100" s="375"/>
      <c r="F100" s="388"/>
      <c r="G100" s="348"/>
      <c r="H100" s="554"/>
      <c r="I100" s="554"/>
      <c r="J100" s="554"/>
      <c r="K100" s="554"/>
      <c r="L100" s="554"/>
      <c r="M100" s="554"/>
      <c r="N100" s="554"/>
      <c r="O100" s="554"/>
      <c r="P100" s="554"/>
      <c r="Q100" s="554"/>
      <c r="R100" s="554"/>
      <c r="S100" s="554"/>
      <c r="T100" s="554"/>
      <c r="U100" s="554"/>
      <c r="V100" s="554"/>
      <c r="W100" s="554"/>
      <c r="X100" s="554"/>
      <c r="Y100" s="554"/>
      <c r="Z100" s="554"/>
      <c r="AA100" s="556">
        <f>COUNTIF(H100:Z100, "SI")</f>
        <v>0</v>
      </c>
      <c r="AB100" s="573"/>
      <c r="AC100" s="565" t="e">
        <f>+VLOOKUP(AB100,Listados!$K$8:$L$12,2,0)</f>
        <v>#N/A</v>
      </c>
      <c r="AD100" s="565" t="str">
        <f>++IF(OR(AA100=0),"",IF(OR(AA100=1,AA100&lt;=5),"Moderado",IF(OR(AA100=6,AA100&lt;=11),"Mayor",IF(OR(AA100&gt;=12),"Catastrófico",""))))</f>
        <v/>
      </c>
      <c r="AE100" s="565" t="e">
        <f>+VLOOKUP(AD100,Listados!$K$13:$L$17,2,0)</f>
        <v>#N/A</v>
      </c>
      <c r="AF100" s="565" t="str">
        <f>IF(AND(AB100&lt;&gt;"",AD100&lt;&gt;""),VLOOKUP(AB100&amp;AD100,[3]Listados!$M$3:$N$27,2,FALSE),"")</f>
        <v/>
      </c>
      <c r="AG100" s="376"/>
      <c r="AH100" s="386"/>
      <c r="AI100" s="348"/>
      <c r="AJ100" s="348"/>
      <c r="AK100" s="333" t="str">
        <f>+IF(AJ100="si",15,"0")</f>
        <v>0</v>
      </c>
      <c r="AL100" s="348"/>
      <c r="AM100" s="333" t="str">
        <f>+IF(AL100="si",15,"0")</f>
        <v>0</v>
      </c>
      <c r="AN100" s="55"/>
      <c r="AO100" s="333" t="str">
        <f>+IF(AN100="si",15,"0")</f>
        <v>0</v>
      </c>
      <c r="AP100" s="348"/>
      <c r="AQ100" s="333" t="str">
        <f>+IF(AP100="Preventivo",15,IF(AP100="Detectivo",10,"0"))</f>
        <v>0</v>
      </c>
      <c r="AR100" s="348"/>
      <c r="AS100" s="333" t="str">
        <f>+IF(AR100="si",15,"0")</f>
        <v>0</v>
      </c>
      <c r="AT100" s="348"/>
      <c r="AU100" s="333" t="str">
        <f>+IF(AT100="si",15,"0")</f>
        <v>0</v>
      </c>
      <c r="AV100" s="55"/>
      <c r="AW100" s="333" t="str">
        <f>+IF(AV100="Completa",10,IF(AV100="Incompleta",5,"0"))</f>
        <v>0</v>
      </c>
      <c r="AX100" s="81" t="str">
        <f t="shared" si="48"/>
        <v/>
      </c>
      <c r="AY100" s="81" t="str">
        <f t="shared" si="49"/>
        <v/>
      </c>
      <c r="AZ100" s="82"/>
      <c r="BA100" s="81" t="str">
        <f t="shared" si="50"/>
        <v/>
      </c>
      <c r="BB100" s="81" t="str">
        <f>IFERROR(VLOOKUP((CONCATENATE(AY100,BA100)),Listados!$U$3:$V$11,2,FALSE),"")</f>
        <v/>
      </c>
      <c r="BC100" s="81" t="str">
        <f t="shared" si="51"/>
        <v/>
      </c>
      <c r="BD100" s="563" t="e">
        <f>AVERAGE(BC100:BC103)</f>
        <v>#DIV/0!</v>
      </c>
      <c r="BE100" s="563" t="e">
        <f>IF(BD100&lt;=50,"Débil",IF(BD100&lt;=99,"Moderado",IF(BD100=100,"fuerte","")))</f>
        <v>#DIV/0!</v>
      </c>
      <c r="BF100" s="563" t="e">
        <f>+IF(AND(AI100="Preventivo",BE100="Fuerte"),2,IF(AND(AI100="Preventivo",BE100="Moderado"),1,0))</f>
        <v>#DIV/0!</v>
      </c>
      <c r="BG100" s="563" t="e">
        <f>+AC100-BF100</f>
        <v>#N/A</v>
      </c>
      <c r="BH100" s="556" t="e">
        <f>+VLOOKUP(MIN(BG100),Listados!$J$18:$K$24,2,TRUE)</f>
        <v>#N/A</v>
      </c>
      <c r="BI100" s="556" t="str">
        <f>AD100</f>
        <v/>
      </c>
      <c r="BJ100" s="556" t="e">
        <f>IF(AND(BH100&lt;&gt;"",BI100&lt;&gt;""),VLOOKUP(BH100&amp;BI100,Listados!$M$3:$N$27,2,FALSE),"")</f>
        <v>#N/A</v>
      </c>
      <c r="BK100" s="556" t="e">
        <f>+VLOOKUP(BJ100,Listados!$P$3:$Q$6,2,FALSE)</f>
        <v>#N/A</v>
      </c>
      <c r="BL100" s="336"/>
      <c r="BM100" s="336"/>
      <c r="BN100" s="339"/>
      <c r="BO100" s="361"/>
      <c r="BP100" s="336"/>
      <c r="BQ100" s="336"/>
      <c r="BR100" s="935"/>
      <c r="BS100" s="935"/>
      <c r="BT100" s="936"/>
      <c r="BU100" s="937"/>
      <c r="BV100" s="936"/>
      <c r="BW100" s="936"/>
    </row>
    <row r="101" spans="1:75">
      <c r="A101" s="931"/>
      <c r="B101" s="580"/>
      <c r="C101" s="582"/>
      <c r="D101" s="580"/>
      <c r="E101" s="375"/>
      <c r="F101" s="388"/>
      <c r="G101" s="348"/>
      <c r="H101" s="580"/>
      <c r="I101" s="580"/>
      <c r="J101" s="580"/>
      <c r="K101" s="580"/>
      <c r="L101" s="580"/>
      <c r="M101" s="580"/>
      <c r="N101" s="580"/>
      <c r="O101" s="580"/>
      <c r="P101" s="580"/>
      <c r="Q101" s="580"/>
      <c r="R101" s="580"/>
      <c r="S101" s="580"/>
      <c r="T101" s="580"/>
      <c r="U101" s="580"/>
      <c r="V101" s="580"/>
      <c r="W101" s="580"/>
      <c r="X101" s="580"/>
      <c r="Y101" s="580"/>
      <c r="Z101" s="580"/>
      <c r="AA101" s="582"/>
      <c r="AB101" s="573"/>
      <c r="AC101" s="565"/>
      <c r="AD101" s="565"/>
      <c r="AE101" s="565"/>
      <c r="AF101" s="565"/>
      <c r="AG101" s="376"/>
      <c r="AH101" s="386"/>
      <c r="AI101" s="348"/>
      <c r="AJ101" s="348"/>
      <c r="AK101" s="333" t="str">
        <f t="shared" si="41"/>
        <v>0</v>
      </c>
      <c r="AL101" s="348"/>
      <c r="AM101" s="333" t="str">
        <f t="shared" si="42"/>
        <v>0</v>
      </c>
      <c r="AN101" s="55"/>
      <c r="AO101" s="333" t="str">
        <f t="shared" si="43"/>
        <v>0</v>
      </c>
      <c r="AP101" s="348"/>
      <c r="AQ101" s="333" t="str">
        <f t="shared" si="44"/>
        <v>0</v>
      </c>
      <c r="AR101" s="348"/>
      <c r="AS101" s="333" t="str">
        <f t="shared" si="45"/>
        <v>0</v>
      </c>
      <c r="AT101" s="348"/>
      <c r="AU101" s="333" t="str">
        <f t="shared" si="46"/>
        <v>0</v>
      </c>
      <c r="AV101" s="55"/>
      <c r="AW101" s="333" t="str">
        <f t="shared" si="47"/>
        <v>0</v>
      </c>
      <c r="AX101" s="81" t="str">
        <f t="shared" si="48"/>
        <v/>
      </c>
      <c r="AY101" s="81" t="str">
        <f t="shared" si="49"/>
        <v/>
      </c>
      <c r="AZ101" s="82"/>
      <c r="BA101" s="81" t="str">
        <f t="shared" si="50"/>
        <v/>
      </c>
      <c r="BB101" s="81" t="str">
        <f>IFERROR(VLOOKUP((CONCATENATE(AY101,BA101)),Listados!$U$3:$V$11,2,FALSE),"")</f>
        <v/>
      </c>
      <c r="BC101" s="81" t="str">
        <f t="shared" si="51"/>
        <v/>
      </c>
      <c r="BD101" s="567"/>
      <c r="BE101" s="567"/>
      <c r="BF101" s="567"/>
      <c r="BG101" s="567"/>
      <c r="BH101" s="582"/>
      <c r="BI101" s="582"/>
      <c r="BJ101" s="582"/>
      <c r="BK101" s="582"/>
      <c r="BL101" s="336"/>
      <c r="BM101" s="336"/>
      <c r="BN101" s="336"/>
      <c r="BO101" s="336"/>
      <c r="BP101" s="336"/>
      <c r="BQ101" s="336"/>
      <c r="BR101" s="790"/>
      <c r="BS101" s="790"/>
      <c r="BT101" s="779"/>
      <c r="BU101" s="848"/>
      <c r="BV101" s="779"/>
      <c r="BW101" s="779"/>
    </row>
    <row r="102" spans="1:75">
      <c r="A102" s="931"/>
      <c r="B102" s="580"/>
      <c r="C102" s="582"/>
      <c r="D102" s="580"/>
      <c r="E102" s="375"/>
      <c r="F102" s="388"/>
      <c r="G102" s="348"/>
      <c r="H102" s="580"/>
      <c r="I102" s="580"/>
      <c r="J102" s="580"/>
      <c r="K102" s="580"/>
      <c r="L102" s="580"/>
      <c r="M102" s="580"/>
      <c r="N102" s="580"/>
      <c r="O102" s="580"/>
      <c r="P102" s="580"/>
      <c r="Q102" s="580"/>
      <c r="R102" s="580"/>
      <c r="S102" s="580"/>
      <c r="T102" s="580"/>
      <c r="U102" s="580"/>
      <c r="V102" s="580"/>
      <c r="W102" s="580"/>
      <c r="X102" s="580"/>
      <c r="Y102" s="580"/>
      <c r="Z102" s="580"/>
      <c r="AA102" s="582"/>
      <c r="AB102" s="573"/>
      <c r="AC102" s="565"/>
      <c r="AD102" s="565"/>
      <c r="AE102" s="565"/>
      <c r="AF102" s="565"/>
      <c r="AG102" s="376"/>
      <c r="AH102" s="347"/>
      <c r="AI102" s="348"/>
      <c r="AJ102" s="348"/>
      <c r="AK102" s="333" t="str">
        <f t="shared" si="41"/>
        <v>0</v>
      </c>
      <c r="AL102" s="348"/>
      <c r="AM102" s="333" t="str">
        <f t="shared" si="42"/>
        <v>0</v>
      </c>
      <c r="AN102" s="55"/>
      <c r="AO102" s="333" t="str">
        <f t="shared" si="43"/>
        <v>0</v>
      </c>
      <c r="AP102" s="348"/>
      <c r="AQ102" s="333" t="str">
        <f t="shared" si="44"/>
        <v>0</v>
      </c>
      <c r="AR102" s="348"/>
      <c r="AS102" s="333" t="str">
        <f t="shared" si="45"/>
        <v>0</v>
      </c>
      <c r="AT102" s="348"/>
      <c r="AU102" s="333" t="str">
        <f t="shared" si="46"/>
        <v>0</v>
      </c>
      <c r="AV102" s="55"/>
      <c r="AW102" s="333" t="str">
        <f t="shared" si="47"/>
        <v>0</v>
      </c>
      <c r="AX102" s="81" t="str">
        <f t="shared" si="48"/>
        <v/>
      </c>
      <c r="AY102" s="81" t="str">
        <f t="shared" si="49"/>
        <v/>
      </c>
      <c r="AZ102" s="82"/>
      <c r="BA102" s="81" t="str">
        <f t="shared" si="50"/>
        <v/>
      </c>
      <c r="BB102" s="81" t="str">
        <f>IFERROR(VLOOKUP((CONCATENATE(AY102,BA102)),Listados!$U$3:$V$11,2,FALSE),"")</f>
        <v/>
      </c>
      <c r="BC102" s="81" t="str">
        <f t="shared" si="51"/>
        <v/>
      </c>
      <c r="BD102" s="567"/>
      <c r="BE102" s="567"/>
      <c r="BF102" s="567"/>
      <c r="BG102" s="567"/>
      <c r="BH102" s="582"/>
      <c r="BI102" s="582"/>
      <c r="BJ102" s="582"/>
      <c r="BK102" s="582"/>
      <c r="BL102" s="336"/>
      <c r="BM102" s="336"/>
      <c r="BN102" s="339"/>
      <c r="BO102" s="339"/>
      <c r="BP102" s="336"/>
      <c r="BQ102" s="336"/>
      <c r="BR102" s="790"/>
      <c r="BS102" s="790"/>
      <c r="BT102" s="779"/>
      <c r="BU102" s="848"/>
      <c r="BV102" s="779"/>
      <c r="BW102" s="779"/>
    </row>
    <row r="103" spans="1:75">
      <c r="A103" s="932"/>
      <c r="B103" s="555"/>
      <c r="C103" s="557"/>
      <c r="D103" s="555"/>
      <c r="E103" s="375"/>
      <c r="F103" s="388"/>
      <c r="G103" s="348"/>
      <c r="H103" s="555"/>
      <c r="I103" s="555"/>
      <c r="J103" s="555"/>
      <c r="K103" s="555"/>
      <c r="L103" s="555"/>
      <c r="M103" s="555"/>
      <c r="N103" s="555"/>
      <c r="O103" s="555"/>
      <c r="P103" s="555"/>
      <c r="Q103" s="555"/>
      <c r="R103" s="555"/>
      <c r="S103" s="555"/>
      <c r="T103" s="555"/>
      <c r="U103" s="555"/>
      <c r="V103" s="555"/>
      <c r="W103" s="555"/>
      <c r="X103" s="555"/>
      <c r="Y103" s="555"/>
      <c r="Z103" s="555"/>
      <c r="AA103" s="557"/>
      <c r="AB103" s="573"/>
      <c r="AC103" s="565"/>
      <c r="AD103" s="565"/>
      <c r="AE103" s="565"/>
      <c r="AF103" s="565"/>
      <c r="AG103" s="376"/>
      <c r="AH103" s="347"/>
      <c r="AI103" s="348"/>
      <c r="AJ103" s="348"/>
      <c r="AK103" s="333" t="str">
        <f t="shared" si="41"/>
        <v>0</v>
      </c>
      <c r="AL103" s="348"/>
      <c r="AM103" s="333" t="str">
        <f t="shared" si="42"/>
        <v>0</v>
      </c>
      <c r="AN103" s="55"/>
      <c r="AO103" s="333" t="str">
        <f t="shared" si="43"/>
        <v>0</v>
      </c>
      <c r="AP103" s="348"/>
      <c r="AQ103" s="333" t="str">
        <f t="shared" si="44"/>
        <v>0</v>
      </c>
      <c r="AR103" s="348"/>
      <c r="AS103" s="333" t="str">
        <f t="shared" si="45"/>
        <v>0</v>
      </c>
      <c r="AT103" s="348"/>
      <c r="AU103" s="333" t="str">
        <f t="shared" si="46"/>
        <v>0</v>
      </c>
      <c r="AV103" s="55"/>
      <c r="AW103" s="333" t="str">
        <f t="shared" si="47"/>
        <v>0</v>
      </c>
      <c r="AX103" s="81" t="str">
        <f t="shared" si="48"/>
        <v/>
      </c>
      <c r="AY103" s="81" t="str">
        <f t="shared" si="49"/>
        <v/>
      </c>
      <c r="AZ103" s="82"/>
      <c r="BA103" s="81" t="str">
        <f t="shared" si="50"/>
        <v/>
      </c>
      <c r="BB103" s="81" t="str">
        <f>IFERROR(VLOOKUP((CONCATENATE(AY103,BA103)),Listados!$U$3:$V$11,2,FALSE),"")</f>
        <v/>
      </c>
      <c r="BC103" s="81" t="str">
        <f t="shared" si="51"/>
        <v/>
      </c>
      <c r="BD103" s="564"/>
      <c r="BE103" s="564"/>
      <c r="BF103" s="564"/>
      <c r="BG103" s="564"/>
      <c r="BH103" s="557"/>
      <c r="BI103" s="557"/>
      <c r="BJ103" s="557"/>
      <c r="BK103" s="557"/>
      <c r="BL103" s="336"/>
      <c r="BM103" s="336"/>
      <c r="BN103" s="339"/>
      <c r="BO103" s="339"/>
      <c r="BP103" s="336"/>
      <c r="BQ103" s="336"/>
      <c r="BR103" s="825"/>
      <c r="BS103" s="825"/>
      <c r="BT103" s="780"/>
      <c r="BU103" s="849"/>
      <c r="BV103" s="780"/>
      <c r="BW103" s="780"/>
    </row>
    <row r="104" spans="1:75">
      <c r="A104" s="930">
        <v>25</v>
      </c>
      <c r="B104" s="554"/>
      <c r="C104" s="556"/>
      <c r="D104" s="554"/>
      <c r="E104" s="375"/>
      <c r="F104" s="388"/>
      <c r="G104" s="348"/>
      <c r="H104" s="554"/>
      <c r="I104" s="554"/>
      <c r="J104" s="554"/>
      <c r="K104" s="554"/>
      <c r="L104" s="554"/>
      <c r="M104" s="554"/>
      <c r="N104" s="554"/>
      <c r="O104" s="554"/>
      <c r="P104" s="554"/>
      <c r="Q104" s="554"/>
      <c r="R104" s="554"/>
      <c r="S104" s="554"/>
      <c r="T104" s="554"/>
      <c r="U104" s="554"/>
      <c r="V104" s="554"/>
      <c r="W104" s="554"/>
      <c r="X104" s="554"/>
      <c r="Y104" s="554"/>
      <c r="Z104" s="554"/>
      <c r="AA104" s="556">
        <f>COUNTIF(H104:Z104, "SI")</f>
        <v>0</v>
      </c>
      <c r="AB104" s="573"/>
      <c r="AC104" s="565" t="e">
        <f>+VLOOKUP(AB104,Listados!$K$8:$L$12,2,0)</f>
        <v>#N/A</v>
      </c>
      <c r="AD104" s="565" t="str">
        <f>++IF(OR(AA104=0),"",IF(OR(AA104=1,AA104&lt;=5),"Moderado",IF(OR(AA104=6,AA104&lt;=11),"Mayor",IF(OR(AA104&gt;=12),"Catastrófico",""))))</f>
        <v/>
      </c>
      <c r="AE104" s="565" t="e">
        <f>+VLOOKUP(AD104,Listados!$K$13:$L$17,2,0)</f>
        <v>#N/A</v>
      </c>
      <c r="AF104" s="565" t="str">
        <f>IF(AND(AB104&lt;&gt;"",AD104&lt;&gt;""),VLOOKUP(AB104&amp;AD104,[3]Listados!$M$3:$N$27,2,FALSE),"")</f>
        <v/>
      </c>
      <c r="AG104" s="376"/>
      <c r="AH104" s="386"/>
      <c r="AI104" s="348"/>
      <c r="AJ104" s="348"/>
      <c r="AK104" s="333" t="str">
        <f>+IF(AJ104="si",15,"0")</f>
        <v>0</v>
      </c>
      <c r="AL104" s="348"/>
      <c r="AM104" s="333" t="str">
        <f>+IF(AL104="si",15,"0")</f>
        <v>0</v>
      </c>
      <c r="AN104" s="55"/>
      <c r="AO104" s="333" t="str">
        <f>+IF(AN104="si",15,"0")</f>
        <v>0</v>
      </c>
      <c r="AP104" s="348"/>
      <c r="AQ104" s="333" t="str">
        <f>+IF(AP104="Preventivo",15,IF(AP104="Detectivo",10,"0"))</f>
        <v>0</v>
      </c>
      <c r="AR104" s="348"/>
      <c r="AS104" s="333" t="str">
        <f>+IF(AR104="si",15,"0")</f>
        <v>0</v>
      </c>
      <c r="AT104" s="348"/>
      <c r="AU104" s="333" t="str">
        <f>+IF(AT104="si",15,"0")</f>
        <v>0</v>
      </c>
      <c r="AV104" s="55"/>
      <c r="AW104" s="333" t="str">
        <f>+IF(AV104="Completa",10,IF(AV104="Incompleta",5,"0"))</f>
        <v>0</v>
      </c>
      <c r="AX104" s="81" t="str">
        <f t="shared" si="48"/>
        <v/>
      </c>
      <c r="AY104" s="81" t="str">
        <f t="shared" si="49"/>
        <v/>
      </c>
      <c r="AZ104" s="82"/>
      <c r="BA104" s="81" t="str">
        <f t="shared" si="50"/>
        <v/>
      </c>
      <c r="BB104" s="81" t="str">
        <f>IFERROR(VLOOKUP((CONCATENATE(AY104,BA104)),Listados!$U$3:$V$11,2,FALSE),"")</f>
        <v/>
      </c>
      <c r="BC104" s="81" t="str">
        <f t="shared" si="51"/>
        <v/>
      </c>
      <c r="BD104" s="563" t="e">
        <f>AVERAGE(BC104:BC107)</f>
        <v>#DIV/0!</v>
      </c>
      <c r="BE104" s="563" t="e">
        <f>IF(BD104&lt;=50,"Débil",IF(BD104&lt;=99,"Moderado",IF(BD104=100,"fuerte","")))</f>
        <v>#DIV/0!</v>
      </c>
      <c r="BF104" s="563" t="e">
        <f>+IF(AND(AI104="Preventivo",BE104="Fuerte"),2,IF(AND(AI104="Preventivo",BE104="Moderado"),1,0))</f>
        <v>#DIV/0!</v>
      </c>
      <c r="BG104" s="563" t="e">
        <f>+AC104-BF104</f>
        <v>#N/A</v>
      </c>
      <c r="BH104" s="556" t="e">
        <f>+VLOOKUP(MIN(BG104),Listados!$J$18:$K$24,2,TRUE)</f>
        <v>#N/A</v>
      </c>
      <c r="BI104" s="556" t="str">
        <f>AD104</f>
        <v/>
      </c>
      <c r="BJ104" s="556" t="e">
        <f>IF(AND(BH104&lt;&gt;"",BI104&lt;&gt;""),VLOOKUP(BH104&amp;BI104,Listados!$M$3:$N$27,2,FALSE),"")</f>
        <v>#N/A</v>
      </c>
      <c r="BK104" s="556" t="e">
        <f>+VLOOKUP(BJ104,Listados!$P$3:$Q$6,2,FALSE)</f>
        <v>#N/A</v>
      </c>
      <c r="BL104" s="336"/>
      <c r="BM104" s="336"/>
      <c r="BN104" s="339"/>
      <c r="BO104" s="361"/>
      <c r="BP104" s="336"/>
      <c r="BQ104" s="336"/>
      <c r="BR104" s="935"/>
      <c r="BS104" s="935"/>
      <c r="BT104" s="936"/>
      <c r="BU104" s="937"/>
      <c r="BV104" s="936"/>
      <c r="BW104" s="936"/>
    </row>
    <row r="105" spans="1:75">
      <c r="A105" s="931"/>
      <c r="B105" s="580"/>
      <c r="C105" s="582"/>
      <c r="D105" s="580"/>
      <c r="E105" s="375"/>
      <c r="F105" s="388"/>
      <c r="G105" s="348"/>
      <c r="H105" s="580"/>
      <c r="I105" s="580"/>
      <c r="J105" s="580"/>
      <c r="K105" s="580"/>
      <c r="L105" s="580"/>
      <c r="M105" s="580"/>
      <c r="N105" s="580"/>
      <c r="O105" s="580"/>
      <c r="P105" s="580"/>
      <c r="Q105" s="580"/>
      <c r="R105" s="580"/>
      <c r="S105" s="580"/>
      <c r="T105" s="580"/>
      <c r="U105" s="580"/>
      <c r="V105" s="580"/>
      <c r="W105" s="580"/>
      <c r="X105" s="580"/>
      <c r="Y105" s="580"/>
      <c r="Z105" s="580"/>
      <c r="AA105" s="582"/>
      <c r="AB105" s="573"/>
      <c r="AC105" s="565"/>
      <c r="AD105" s="565"/>
      <c r="AE105" s="565"/>
      <c r="AF105" s="565"/>
      <c r="AG105" s="376"/>
      <c r="AH105" s="386"/>
      <c r="AI105" s="348"/>
      <c r="AJ105" s="348"/>
      <c r="AK105" s="333" t="str">
        <f t="shared" si="41"/>
        <v>0</v>
      </c>
      <c r="AL105" s="348"/>
      <c r="AM105" s="333" t="str">
        <f t="shared" si="42"/>
        <v>0</v>
      </c>
      <c r="AN105" s="55"/>
      <c r="AO105" s="333" t="str">
        <f t="shared" si="43"/>
        <v>0</v>
      </c>
      <c r="AP105" s="348"/>
      <c r="AQ105" s="333" t="str">
        <f t="shared" si="44"/>
        <v>0</v>
      </c>
      <c r="AR105" s="348"/>
      <c r="AS105" s="333" t="str">
        <f t="shared" si="45"/>
        <v>0</v>
      </c>
      <c r="AT105" s="348"/>
      <c r="AU105" s="333" t="str">
        <f t="shared" si="46"/>
        <v>0</v>
      </c>
      <c r="AV105" s="55"/>
      <c r="AW105" s="333" t="str">
        <f t="shared" si="47"/>
        <v>0</v>
      </c>
      <c r="AX105" s="81" t="str">
        <f t="shared" si="48"/>
        <v/>
      </c>
      <c r="AY105" s="81" t="str">
        <f t="shared" si="49"/>
        <v/>
      </c>
      <c r="AZ105" s="82"/>
      <c r="BA105" s="81" t="str">
        <f t="shared" si="50"/>
        <v/>
      </c>
      <c r="BB105" s="81" t="str">
        <f>IFERROR(VLOOKUP((CONCATENATE(AY105,BA105)),Listados!$U$3:$V$11,2,FALSE),"")</f>
        <v/>
      </c>
      <c r="BC105" s="81" t="str">
        <f t="shared" si="51"/>
        <v/>
      </c>
      <c r="BD105" s="567"/>
      <c r="BE105" s="567"/>
      <c r="BF105" s="567"/>
      <c r="BG105" s="567"/>
      <c r="BH105" s="582"/>
      <c r="BI105" s="582"/>
      <c r="BJ105" s="582"/>
      <c r="BK105" s="582"/>
      <c r="BL105" s="336"/>
      <c r="BM105" s="336"/>
      <c r="BN105" s="336"/>
      <c r="BO105" s="336"/>
      <c r="BP105" s="336"/>
      <c r="BQ105" s="336"/>
      <c r="BR105" s="790"/>
      <c r="BS105" s="790"/>
      <c r="BT105" s="779"/>
      <c r="BU105" s="848"/>
      <c r="BV105" s="779"/>
      <c r="BW105" s="779"/>
    </row>
    <row r="106" spans="1:75">
      <c r="A106" s="931"/>
      <c r="B106" s="580"/>
      <c r="C106" s="582"/>
      <c r="D106" s="580"/>
      <c r="E106" s="375"/>
      <c r="F106" s="388"/>
      <c r="G106" s="348"/>
      <c r="H106" s="580"/>
      <c r="I106" s="580"/>
      <c r="J106" s="580"/>
      <c r="K106" s="580"/>
      <c r="L106" s="580"/>
      <c r="M106" s="580"/>
      <c r="N106" s="580"/>
      <c r="O106" s="580"/>
      <c r="P106" s="580"/>
      <c r="Q106" s="580"/>
      <c r="R106" s="580"/>
      <c r="S106" s="580"/>
      <c r="T106" s="580"/>
      <c r="U106" s="580"/>
      <c r="V106" s="580"/>
      <c r="W106" s="580"/>
      <c r="X106" s="580"/>
      <c r="Y106" s="580"/>
      <c r="Z106" s="580"/>
      <c r="AA106" s="582"/>
      <c r="AB106" s="573"/>
      <c r="AC106" s="565"/>
      <c r="AD106" s="565"/>
      <c r="AE106" s="565"/>
      <c r="AF106" s="565"/>
      <c r="AG106" s="376"/>
      <c r="AH106" s="347"/>
      <c r="AI106" s="348"/>
      <c r="AJ106" s="348"/>
      <c r="AK106" s="333" t="str">
        <f t="shared" si="41"/>
        <v>0</v>
      </c>
      <c r="AL106" s="348"/>
      <c r="AM106" s="333" t="str">
        <f t="shared" si="42"/>
        <v>0</v>
      </c>
      <c r="AN106" s="55"/>
      <c r="AO106" s="333" t="str">
        <f t="shared" si="43"/>
        <v>0</v>
      </c>
      <c r="AP106" s="348"/>
      <c r="AQ106" s="333" t="str">
        <f t="shared" si="44"/>
        <v>0</v>
      </c>
      <c r="AR106" s="348"/>
      <c r="AS106" s="333" t="str">
        <f t="shared" si="45"/>
        <v>0</v>
      </c>
      <c r="AT106" s="348"/>
      <c r="AU106" s="333" t="str">
        <f t="shared" si="46"/>
        <v>0</v>
      </c>
      <c r="AV106" s="55"/>
      <c r="AW106" s="333" t="str">
        <f t="shared" si="47"/>
        <v>0</v>
      </c>
      <c r="AX106" s="81" t="str">
        <f t="shared" si="48"/>
        <v/>
      </c>
      <c r="AY106" s="81" t="str">
        <f t="shared" si="49"/>
        <v/>
      </c>
      <c r="AZ106" s="82"/>
      <c r="BA106" s="81" t="str">
        <f t="shared" si="50"/>
        <v/>
      </c>
      <c r="BB106" s="81" t="str">
        <f>IFERROR(VLOOKUP((CONCATENATE(AY106,BA106)),Listados!$U$3:$V$11,2,FALSE),"")</f>
        <v/>
      </c>
      <c r="BC106" s="81" t="str">
        <f t="shared" si="51"/>
        <v/>
      </c>
      <c r="BD106" s="567"/>
      <c r="BE106" s="567"/>
      <c r="BF106" s="567"/>
      <c r="BG106" s="567"/>
      <c r="BH106" s="582"/>
      <c r="BI106" s="582"/>
      <c r="BJ106" s="582"/>
      <c r="BK106" s="582"/>
      <c r="BL106" s="336"/>
      <c r="BM106" s="336"/>
      <c r="BN106" s="339"/>
      <c r="BO106" s="339"/>
      <c r="BP106" s="336"/>
      <c r="BQ106" s="336"/>
      <c r="BR106" s="790"/>
      <c r="BS106" s="790"/>
      <c r="BT106" s="779"/>
      <c r="BU106" s="848"/>
      <c r="BV106" s="779"/>
      <c r="BW106" s="779"/>
    </row>
    <row r="107" spans="1:75">
      <c r="A107" s="932"/>
      <c r="B107" s="555"/>
      <c r="C107" s="557"/>
      <c r="D107" s="555"/>
      <c r="E107" s="375"/>
      <c r="F107" s="388"/>
      <c r="G107" s="348"/>
      <c r="H107" s="555"/>
      <c r="I107" s="555"/>
      <c r="J107" s="555"/>
      <c r="K107" s="555"/>
      <c r="L107" s="555"/>
      <c r="M107" s="555"/>
      <c r="N107" s="555"/>
      <c r="O107" s="555"/>
      <c r="P107" s="555"/>
      <c r="Q107" s="555"/>
      <c r="R107" s="555"/>
      <c r="S107" s="555"/>
      <c r="T107" s="555"/>
      <c r="U107" s="555"/>
      <c r="V107" s="555"/>
      <c r="W107" s="555"/>
      <c r="X107" s="555"/>
      <c r="Y107" s="555"/>
      <c r="Z107" s="555"/>
      <c r="AA107" s="557"/>
      <c r="AB107" s="573"/>
      <c r="AC107" s="565"/>
      <c r="AD107" s="565"/>
      <c r="AE107" s="565"/>
      <c r="AF107" s="565"/>
      <c r="AG107" s="376"/>
      <c r="AH107" s="347"/>
      <c r="AI107" s="348"/>
      <c r="AJ107" s="348"/>
      <c r="AK107" s="333" t="str">
        <f t="shared" si="41"/>
        <v>0</v>
      </c>
      <c r="AL107" s="348"/>
      <c r="AM107" s="333" t="str">
        <f t="shared" si="42"/>
        <v>0</v>
      </c>
      <c r="AN107" s="55"/>
      <c r="AO107" s="333" t="str">
        <f t="shared" si="43"/>
        <v>0</v>
      </c>
      <c r="AP107" s="348"/>
      <c r="AQ107" s="333" t="str">
        <f t="shared" si="44"/>
        <v>0</v>
      </c>
      <c r="AR107" s="348"/>
      <c r="AS107" s="333" t="str">
        <f t="shared" si="45"/>
        <v>0</v>
      </c>
      <c r="AT107" s="348"/>
      <c r="AU107" s="333" t="str">
        <f t="shared" si="46"/>
        <v>0</v>
      </c>
      <c r="AV107" s="55"/>
      <c r="AW107" s="333" t="str">
        <f t="shared" si="47"/>
        <v>0</v>
      </c>
      <c r="AX107" s="81" t="str">
        <f t="shared" si="48"/>
        <v/>
      </c>
      <c r="AY107" s="81" t="str">
        <f t="shared" si="49"/>
        <v/>
      </c>
      <c r="AZ107" s="82"/>
      <c r="BA107" s="81" t="str">
        <f t="shared" si="50"/>
        <v/>
      </c>
      <c r="BB107" s="81" t="str">
        <f>IFERROR(VLOOKUP((CONCATENATE(AY107,BA107)),Listados!$U$3:$V$11,2,FALSE),"")</f>
        <v/>
      </c>
      <c r="BC107" s="81" t="str">
        <f t="shared" si="51"/>
        <v/>
      </c>
      <c r="BD107" s="564"/>
      <c r="BE107" s="564"/>
      <c r="BF107" s="564"/>
      <c r="BG107" s="564"/>
      <c r="BH107" s="557"/>
      <c r="BI107" s="557"/>
      <c r="BJ107" s="557"/>
      <c r="BK107" s="557"/>
      <c r="BL107" s="336"/>
      <c r="BM107" s="336"/>
      <c r="BN107" s="339"/>
      <c r="BO107" s="339"/>
      <c r="BP107" s="336"/>
      <c r="BQ107" s="336"/>
      <c r="BR107" s="825"/>
      <c r="BS107" s="825"/>
      <c r="BT107" s="780"/>
      <c r="BU107" s="849"/>
      <c r="BV107" s="780"/>
      <c r="BW107" s="780"/>
    </row>
    <row r="108" spans="1:75">
      <c r="A108" s="930">
        <v>26</v>
      </c>
      <c r="B108" s="554"/>
      <c r="C108" s="556"/>
      <c r="D108" s="554"/>
      <c r="E108" s="375"/>
      <c r="F108" s="388"/>
      <c r="G108" s="348"/>
      <c r="H108" s="554"/>
      <c r="I108" s="554"/>
      <c r="J108" s="554"/>
      <c r="K108" s="554"/>
      <c r="L108" s="554"/>
      <c r="M108" s="554"/>
      <c r="N108" s="554"/>
      <c r="O108" s="554"/>
      <c r="P108" s="554"/>
      <c r="Q108" s="554"/>
      <c r="R108" s="554"/>
      <c r="S108" s="554"/>
      <c r="T108" s="554"/>
      <c r="U108" s="554"/>
      <c r="V108" s="554"/>
      <c r="W108" s="554"/>
      <c r="X108" s="554"/>
      <c r="Y108" s="554"/>
      <c r="Z108" s="554"/>
      <c r="AA108" s="556">
        <f>COUNTIF(H108:Z108, "SI")</f>
        <v>0</v>
      </c>
      <c r="AB108" s="573"/>
      <c r="AC108" s="565" t="e">
        <f>+VLOOKUP(AB108,Listados!$K$8:$L$12,2,0)</f>
        <v>#N/A</v>
      </c>
      <c r="AD108" s="565" t="str">
        <f>++IF(OR(AA108=0),"",IF(OR(AA108=1,AA108&lt;=5),"Moderado",IF(OR(AA108=6,AA108&lt;=11),"Mayor",IF(OR(AA108&gt;=12),"Catastrófico",""))))</f>
        <v/>
      </c>
      <c r="AE108" s="565" t="e">
        <f>+VLOOKUP(AD108,Listados!$K$13:$L$17,2,0)</f>
        <v>#N/A</v>
      </c>
      <c r="AF108" s="565" t="str">
        <f>IF(AND(AB108&lt;&gt;"",AD108&lt;&gt;""),VLOOKUP(AB108&amp;AD108,[3]Listados!$M$3:$N$27,2,FALSE),"")</f>
        <v/>
      </c>
      <c r="AG108" s="376"/>
      <c r="AH108" s="386"/>
      <c r="AI108" s="348"/>
      <c r="AJ108" s="348"/>
      <c r="AK108" s="333" t="str">
        <f>+IF(AJ108="si",15,"0")</f>
        <v>0</v>
      </c>
      <c r="AL108" s="348"/>
      <c r="AM108" s="333" t="str">
        <f>+IF(AL108="si",15,"0")</f>
        <v>0</v>
      </c>
      <c r="AN108" s="55"/>
      <c r="AO108" s="333" t="str">
        <f>+IF(AN108="si",15,"0")</f>
        <v>0</v>
      </c>
      <c r="AP108" s="348"/>
      <c r="AQ108" s="333" t="str">
        <f>+IF(AP108="Preventivo",15,IF(AP108="Detectivo",10,"0"))</f>
        <v>0</v>
      </c>
      <c r="AR108" s="348"/>
      <c r="AS108" s="333" t="str">
        <f>+IF(AR108="si",15,"0")</f>
        <v>0</v>
      </c>
      <c r="AT108" s="348"/>
      <c r="AU108" s="333" t="str">
        <f>+IF(AT108="si",15,"0")</f>
        <v>0</v>
      </c>
      <c r="AV108" s="55"/>
      <c r="AW108" s="333" t="str">
        <f>+IF(AV108="Completa",10,IF(AV108="Incompleta",5,"0"))</f>
        <v>0</v>
      </c>
      <c r="AX108" s="81" t="str">
        <f t="shared" si="48"/>
        <v/>
      </c>
      <c r="AY108" s="81" t="str">
        <f t="shared" si="49"/>
        <v/>
      </c>
      <c r="AZ108" s="82"/>
      <c r="BA108" s="81" t="str">
        <f t="shared" si="50"/>
        <v/>
      </c>
      <c r="BB108" s="81" t="str">
        <f>IFERROR(VLOOKUP((CONCATENATE(AY108,BA108)),Listados!$U$3:$V$11,2,FALSE),"")</f>
        <v/>
      </c>
      <c r="BC108" s="81" t="str">
        <f t="shared" si="51"/>
        <v/>
      </c>
      <c r="BD108" s="563" t="e">
        <f>AVERAGE(BC108:BC111)</f>
        <v>#DIV/0!</v>
      </c>
      <c r="BE108" s="563" t="e">
        <f>IF(BD108&lt;=50,"Débil",IF(BD108&lt;=99,"Moderado",IF(BD108=100,"fuerte","")))</f>
        <v>#DIV/0!</v>
      </c>
      <c r="BF108" s="563" t="e">
        <f>+IF(AND(AI108="Preventivo",BE108="Fuerte"),2,IF(AND(AI108="Preventivo",BE108="Moderado"),1,0))</f>
        <v>#DIV/0!</v>
      </c>
      <c r="BG108" s="563" t="e">
        <f>+AC108-BF108</f>
        <v>#N/A</v>
      </c>
      <c r="BH108" s="556" t="e">
        <f>+VLOOKUP(MIN(BG108),Listados!$J$18:$K$24,2,TRUE)</f>
        <v>#N/A</v>
      </c>
      <c r="BI108" s="556" t="str">
        <f>AD108</f>
        <v/>
      </c>
      <c r="BJ108" s="556" t="e">
        <f>IF(AND(BH108&lt;&gt;"",BI108&lt;&gt;""),VLOOKUP(BH108&amp;BI108,Listados!$M$3:$N$27,2,FALSE),"")</f>
        <v>#N/A</v>
      </c>
      <c r="BK108" s="556" t="e">
        <f>+VLOOKUP(BJ108,Listados!$P$3:$Q$6,2,FALSE)</f>
        <v>#N/A</v>
      </c>
      <c r="BL108" s="336"/>
      <c r="BM108" s="336"/>
      <c r="BN108" s="339"/>
      <c r="BO108" s="361"/>
      <c r="BP108" s="336"/>
      <c r="BQ108" s="336"/>
      <c r="BR108" s="935"/>
      <c r="BS108" s="935"/>
      <c r="BT108" s="936"/>
      <c r="BU108" s="937"/>
      <c r="BV108" s="936"/>
      <c r="BW108" s="936"/>
    </row>
    <row r="109" spans="1:75">
      <c r="A109" s="931"/>
      <c r="B109" s="580"/>
      <c r="C109" s="582"/>
      <c r="D109" s="580"/>
      <c r="E109" s="375"/>
      <c r="F109" s="388"/>
      <c r="G109" s="348"/>
      <c r="H109" s="580"/>
      <c r="I109" s="580"/>
      <c r="J109" s="580"/>
      <c r="K109" s="580"/>
      <c r="L109" s="580"/>
      <c r="M109" s="580"/>
      <c r="N109" s="580"/>
      <c r="O109" s="580"/>
      <c r="P109" s="580"/>
      <c r="Q109" s="580"/>
      <c r="R109" s="580"/>
      <c r="S109" s="580"/>
      <c r="T109" s="580"/>
      <c r="U109" s="580"/>
      <c r="V109" s="580"/>
      <c r="W109" s="580"/>
      <c r="X109" s="580"/>
      <c r="Y109" s="580"/>
      <c r="Z109" s="580"/>
      <c r="AA109" s="582"/>
      <c r="AB109" s="573"/>
      <c r="AC109" s="565"/>
      <c r="AD109" s="565"/>
      <c r="AE109" s="565"/>
      <c r="AF109" s="565"/>
      <c r="AG109" s="376"/>
      <c r="AH109" s="386"/>
      <c r="AI109" s="348"/>
      <c r="AJ109" s="348"/>
      <c r="AK109" s="333" t="str">
        <f t="shared" si="41"/>
        <v>0</v>
      </c>
      <c r="AL109" s="348"/>
      <c r="AM109" s="333" t="str">
        <f t="shared" si="42"/>
        <v>0</v>
      </c>
      <c r="AN109" s="55"/>
      <c r="AO109" s="333" t="str">
        <f t="shared" si="43"/>
        <v>0</v>
      </c>
      <c r="AP109" s="348"/>
      <c r="AQ109" s="333" t="str">
        <f t="shared" si="44"/>
        <v>0</v>
      </c>
      <c r="AR109" s="348"/>
      <c r="AS109" s="333" t="str">
        <f t="shared" si="45"/>
        <v>0</v>
      </c>
      <c r="AT109" s="348"/>
      <c r="AU109" s="333" t="str">
        <f t="shared" si="46"/>
        <v>0</v>
      </c>
      <c r="AV109" s="55"/>
      <c r="AW109" s="333" t="str">
        <f t="shared" si="47"/>
        <v>0</v>
      </c>
      <c r="AX109" s="81" t="str">
        <f t="shared" si="48"/>
        <v/>
      </c>
      <c r="AY109" s="81" t="str">
        <f t="shared" si="49"/>
        <v/>
      </c>
      <c r="AZ109" s="82"/>
      <c r="BA109" s="81" t="str">
        <f t="shared" si="50"/>
        <v/>
      </c>
      <c r="BB109" s="81" t="str">
        <f>IFERROR(VLOOKUP((CONCATENATE(AY109,BA109)),Listados!$U$3:$V$11,2,FALSE),"")</f>
        <v/>
      </c>
      <c r="BC109" s="81" t="str">
        <f t="shared" si="51"/>
        <v/>
      </c>
      <c r="BD109" s="567"/>
      <c r="BE109" s="567"/>
      <c r="BF109" s="567"/>
      <c r="BG109" s="567"/>
      <c r="BH109" s="582"/>
      <c r="BI109" s="582"/>
      <c r="BJ109" s="582"/>
      <c r="BK109" s="582"/>
      <c r="BL109" s="336"/>
      <c r="BM109" s="336"/>
      <c r="BN109" s="336"/>
      <c r="BO109" s="336"/>
      <c r="BP109" s="336"/>
      <c r="BQ109" s="336"/>
      <c r="BR109" s="790"/>
      <c r="BS109" s="790"/>
      <c r="BT109" s="779"/>
      <c r="BU109" s="848"/>
      <c r="BV109" s="779"/>
      <c r="BW109" s="779"/>
    </row>
    <row r="110" spans="1:75">
      <c r="A110" s="931"/>
      <c r="B110" s="580"/>
      <c r="C110" s="582"/>
      <c r="D110" s="580"/>
      <c r="E110" s="375"/>
      <c r="F110" s="388"/>
      <c r="G110" s="348"/>
      <c r="H110" s="580"/>
      <c r="I110" s="580"/>
      <c r="J110" s="580"/>
      <c r="K110" s="580"/>
      <c r="L110" s="580"/>
      <c r="M110" s="580"/>
      <c r="N110" s="580"/>
      <c r="O110" s="580"/>
      <c r="P110" s="580"/>
      <c r="Q110" s="580"/>
      <c r="R110" s="580"/>
      <c r="S110" s="580"/>
      <c r="T110" s="580"/>
      <c r="U110" s="580"/>
      <c r="V110" s="580"/>
      <c r="W110" s="580"/>
      <c r="X110" s="580"/>
      <c r="Y110" s="580"/>
      <c r="Z110" s="580"/>
      <c r="AA110" s="582"/>
      <c r="AB110" s="573"/>
      <c r="AC110" s="565"/>
      <c r="AD110" s="565"/>
      <c r="AE110" s="565"/>
      <c r="AF110" s="565"/>
      <c r="AG110" s="376"/>
      <c r="AH110" s="347"/>
      <c r="AI110" s="348"/>
      <c r="AJ110" s="348"/>
      <c r="AK110" s="333" t="str">
        <f t="shared" si="41"/>
        <v>0</v>
      </c>
      <c r="AL110" s="348"/>
      <c r="AM110" s="333" t="str">
        <f t="shared" si="42"/>
        <v>0</v>
      </c>
      <c r="AN110" s="55"/>
      <c r="AO110" s="333" t="str">
        <f t="shared" si="43"/>
        <v>0</v>
      </c>
      <c r="AP110" s="348"/>
      <c r="AQ110" s="333" t="str">
        <f t="shared" si="44"/>
        <v>0</v>
      </c>
      <c r="AR110" s="348"/>
      <c r="AS110" s="333" t="str">
        <f t="shared" si="45"/>
        <v>0</v>
      </c>
      <c r="AT110" s="348"/>
      <c r="AU110" s="333" t="str">
        <f t="shared" si="46"/>
        <v>0</v>
      </c>
      <c r="AV110" s="55"/>
      <c r="AW110" s="333" t="str">
        <f t="shared" si="47"/>
        <v>0</v>
      </c>
      <c r="AX110" s="81" t="str">
        <f t="shared" si="48"/>
        <v/>
      </c>
      <c r="AY110" s="81" t="str">
        <f t="shared" si="49"/>
        <v/>
      </c>
      <c r="AZ110" s="82"/>
      <c r="BA110" s="81" t="str">
        <f t="shared" si="50"/>
        <v/>
      </c>
      <c r="BB110" s="81" t="str">
        <f>IFERROR(VLOOKUP((CONCATENATE(AY110,BA110)),Listados!$U$3:$V$11,2,FALSE),"")</f>
        <v/>
      </c>
      <c r="BC110" s="81" t="str">
        <f t="shared" si="51"/>
        <v/>
      </c>
      <c r="BD110" s="567"/>
      <c r="BE110" s="567"/>
      <c r="BF110" s="567"/>
      <c r="BG110" s="567"/>
      <c r="BH110" s="582"/>
      <c r="BI110" s="582"/>
      <c r="BJ110" s="582"/>
      <c r="BK110" s="582"/>
      <c r="BL110" s="336"/>
      <c r="BM110" s="336"/>
      <c r="BN110" s="339"/>
      <c r="BO110" s="339"/>
      <c r="BP110" s="336"/>
      <c r="BQ110" s="336"/>
      <c r="BR110" s="790"/>
      <c r="BS110" s="790"/>
      <c r="BT110" s="779"/>
      <c r="BU110" s="848"/>
      <c r="BV110" s="779"/>
      <c r="BW110" s="779"/>
    </row>
    <row r="111" spans="1:75">
      <c r="A111" s="932"/>
      <c r="B111" s="555"/>
      <c r="C111" s="557"/>
      <c r="D111" s="555"/>
      <c r="E111" s="375"/>
      <c r="F111" s="388"/>
      <c r="G111" s="348"/>
      <c r="H111" s="555"/>
      <c r="I111" s="555"/>
      <c r="J111" s="555"/>
      <c r="K111" s="555"/>
      <c r="L111" s="555"/>
      <c r="M111" s="555"/>
      <c r="N111" s="555"/>
      <c r="O111" s="555"/>
      <c r="P111" s="555"/>
      <c r="Q111" s="555"/>
      <c r="R111" s="555"/>
      <c r="S111" s="555"/>
      <c r="T111" s="555"/>
      <c r="U111" s="555"/>
      <c r="V111" s="555"/>
      <c r="W111" s="555"/>
      <c r="X111" s="555"/>
      <c r="Y111" s="555"/>
      <c r="Z111" s="555"/>
      <c r="AA111" s="557"/>
      <c r="AB111" s="573"/>
      <c r="AC111" s="565"/>
      <c r="AD111" s="565"/>
      <c r="AE111" s="565"/>
      <c r="AF111" s="565"/>
      <c r="AG111" s="376"/>
      <c r="AH111" s="347"/>
      <c r="AI111" s="348"/>
      <c r="AJ111" s="348"/>
      <c r="AK111" s="333" t="str">
        <f t="shared" si="41"/>
        <v>0</v>
      </c>
      <c r="AL111" s="348"/>
      <c r="AM111" s="333" t="str">
        <f t="shared" si="42"/>
        <v>0</v>
      </c>
      <c r="AN111" s="55"/>
      <c r="AO111" s="333" t="str">
        <f t="shared" si="43"/>
        <v>0</v>
      </c>
      <c r="AP111" s="348"/>
      <c r="AQ111" s="333" t="str">
        <f t="shared" si="44"/>
        <v>0</v>
      </c>
      <c r="AR111" s="348"/>
      <c r="AS111" s="333" t="str">
        <f t="shared" si="45"/>
        <v>0</v>
      </c>
      <c r="AT111" s="348"/>
      <c r="AU111" s="333" t="str">
        <f t="shared" si="46"/>
        <v>0</v>
      </c>
      <c r="AV111" s="55"/>
      <c r="AW111" s="333" t="str">
        <f t="shared" si="47"/>
        <v>0</v>
      </c>
      <c r="AX111" s="81" t="str">
        <f t="shared" si="48"/>
        <v/>
      </c>
      <c r="AY111" s="81" t="str">
        <f t="shared" si="49"/>
        <v/>
      </c>
      <c r="AZ111" s="82"/>
      <c r="BA111" s="81" t="str">
        <f t="shared" si="50"/>
        <v/>
      </c>
      <c r="BB111" s="81" t="str">
        <f>IFERROR(VLOOKUP((CONCATENATE(AY111,BA111)),Listados!$U$3:$V$11,2,FALSE),"")</f>
        <v/>
      </c>
      <c r="BC111" s="81" t="str">
        <f t="shared" si="51"/>
        <v/>
      </c>
      <c r="BD111" s="564"/>
      <c r="BE111" s="564"/>
      <c r="BF111" s="564"/>
      <c r="BG111" s="564"/>
      <c r="BH111" s="557"/>
      <c r="BI111" s="557"/>
      <c r="BJ111" s="557"/>
      <c r="BK111" s="557"/>
      <c r="BL111" s="336"/>
      <c r="BM111" s="336"/>
      <c r="BN111" s="339"/>
      <c r="BO111" s="339"/>
      <c r="BP111" s="336"/>
      <c r="BQ111" s="336"/>
      <c r="BR111" s="825"/>
      <c r="BS111" s="825"/>
      <c r="BT111" s="780"/>
      <c r="BU111" s="849"/>
      <c r="BV111" s="780"/>
      <c r="BW111" s="780"/>
    </row>
    <row r="112" spans="1:75">
      <c r="A112" s="930">
        <v>27</v>
      </c>
      <c r="B112" s="554"/>
      <c r="C112" s="556"/>
      <c r="D112" s="554"/>
      <c r="E112" s="375"/>
      <c r="F112" s="388"/>
      <c r="G112" s="348"/>
      <c r="H112" s="554"/>
      <c r="I112" s="554"/>
      <c r="J112" s="554"/>
      <c r="K112" s="554"/>
      <c r="L112" s="554"/>
      <c r="M112" s="554"/>
      <c r="N112" s="554"/>
      <c r="O112" s="554"/>
      <c r="P112" s="554"/>
      <c r="Q112" s="554"/>
      <c r="R112" s="554"/>
      <c r="S112" s="554"/>
      <c r="T112" s="554"/>
      <c r="U112" s="554"/>
      <c r="V112" s="554"/>
      <c r="W112" s="554"/>
      <c r="X112" s="554"/>
      <c r="Y112" s="554"/>
      <c r="Z112" s="554"/>
      <c r="AA112" s="556">
        <f>COUNTIF(H112:Z112, "SI")</f>
        <v>0</v>
      </c>
      <c r="AB112" s="573"/>
      <c r="AC112" s="565" t="e">
        <f>+VLOOKUP(AB112,Listados!$K$8:$L$12,2,0)</f>
        <v>#N/A</v>
      </c>
      <c r="AD112" s="565" t="str">
        <f>++IF(OR(AA112=0),"",IF(OR(AA112=1,AA112&lt;=5),"Moderado",IF(OR(AA112=6,AA112&lt;=11),"Mayor",IF(OR(AA112&gt;=12),"Catastrófico",""))))</f>
        <v/>
      </c>
      <c r="AE112" s="565" t="e">
        <f>+VLOOKUP(AD112,Listados!$K$13:$L$17,2,0)</f>
        <v>#N/A</v>
      </c>
      <c r="AF112" s="565" t="str">
        <f>IF(AND(AB112&lt;&gt;"",AD112&lt;&gt;""),VLOOKUP(AB112&amp;AD112,[3]Listados!$M$3:$N$27,2,FALSE),"")</f>
        <v/>
      </c>
      <c r="AG112" s="376"/>
      <c r="AH112" s="386"/>
      <c r="AI112" s="348"/>
      <c r="AJ112" s="348"/>
      <c r="AK112" s="333" t="str">
        <f>+IF(AJ112="si",15,"0")</f>
        <v>0</v>
      </c>
      <c r="AL112" s="348"/>
      <c r="AM112" s="333" t="str">
        <f>+IF(AL112="si",15,"0")</f>
        <v>0</v>
      </c>
      <c r="AN112" s="55"/>
      <c r="AO112" s="333" t="str">
        <f>+IF(AN112="si",15,"0")</f>
        <v>0</v>
      </c>
      <c r="AP112" s="348"/>
      <c r="AQ112" s="333" t="str">
        <f>+IF(AP112="Preventivo",15,IF(AP112="Detectivo",10,"0"))</f>
        <v>0</v>
      </c>
      <c r="AR112" s="348"/>
      <c r="AS112" s="333" t="str">
        <f>+IF(AR112="si",15,"0")</f>
        <v>0</v>
      </c>
      <c r="AT112" s="348"/>
      <c r="AU112" s="333" t="str">
        <f>+IF(AT112="si",15,"0")</f>
        <v>0</v>
      </c>
      <c r="AV112" s="55"/>
      <c r="AW112" s="333" t="str">
        <f>+IF(AV112="Completa",10,IF(AV112="Incompleta",5,"0"))</f>
        <v>0</v>
      </c>
      <c r="AX112" s="81" t="str">
        <f t="shared" si="48"/>
        <v/>
      </c>
      <c r="AY112" s="81" t="str">
        <f t="shared" si="49"/>
        <v/>
      </c>
      <c r="AZ112" s="82"/>
      <c r="BA112" s="81" t="str">
        <f t="shared" si="50"/>
        <v/>
      </c>
      <c r="BB112" s="81" t="str">
        <f>IFERROR(VLOOKUP((CONCATENATE(AY112,BA112)),Listados!$U$3:$V$11,2,FALSE),"")</f>
        <v/>
      </c>
      <c r="BC112" s="81" t="str">
        <f t="shared" si="51"/>
        <v/>
      </c>
      <c r="BD112" s="563" t="e">
        <f>AVERAGE(BC112:BC115)</f>
        <v>#DIV/0!</v>
      </c>
      <c r="BE112" s="563" t="e">
        <f>IF(BD112&lt;=50,"Débil",IF(BD112&lt;=99,"Moderado",IF(BD112=100,"fuerte","")))</f>
        <v>#DIV/0!</v>
      </c>
      <c r="BF112" s="563" t="e">
        <f>+IF(AND(AI112="Preventivo",BE112="Fuerte"),2,IF(AND(AI112="Preventivo",BE112="Moderado"),1,0))</f>
        <v>#DIV/0!</v>
      </c>
      <c r="BG112" s="563" t="e">
        <f>+AC112-BF112</f>
        <v>#N/A</v>
      </c>
      <c r="BH112" s="556" t="e">
        <f>+VLOOKUP(MIN(BG112),Listados!$J$18:$K$24,2,TRUE)</f>
        <v>#N/A</v>
      </c>
      <c r="BI112" s="556" t="str">
        <f>AD112</f>
        <v/>
      </c>
      <c r="BJ112" s="556" t="e">
        <f>IF(AND(BH112&lt;&gt;"",BI112&lt;&gt;""),VLOOKUP(BH112&amp;BI112,Listados!$M$3:$N$27,2,FALSE),"")</f>
        <v>#N/A</v>
      </c>
      <c r="BK112" s="556" t="e">
        <f>+VLOOKUP(BJ112,Listados!$P$3:$Q$6,2,FALSE)</f>
        <v>#N/A</v>
      </c>
      <c r="BL112" s="336"/>
      <c r="BM112" s="336"/>
      <c r="BN112" s="339"/>
      <c r="BO112" s="361"/>
      <c r="BP112" s="336"/>
      <c r="BQ112" s="336"/>
      <c r="BR112" s="935"/>
      <c r="BS112" s="935"/>
      <c r="BT112" s="936"/>
      <c r="BU112" s="937"/>
      <c r="BV112" s="936"/>
      <c r="BW112" s="936"/>
    </row>
    <row r="113" spans="1:75">
      <c r="A113" s="931"/>
      <c r="B113" s="580"/>
      <c r="C113" s="582"/>
      <c r="D113" s="580"/>
      <c r="E113" s="375"/>
      <c r="F113" s="388"/>
      <c r="G113" s="348"/>
      <c r="H113" s="580"/>
      <c r="I113" s="580"/>
      <c r="J113" s="580"/>
      <c r="K113" s="580"/>
      <c r="L113" s="580"/>
      <c r="M113" s="580"/>
      <c r="N113" s="580"/>
      <c r="O113" s="580"/>
      <c r="P113" s="580"/>
      <c r="Q113" s="580"/>
      <c r="R113" s="580"/>
      <c r="S113" s="580"/>
      <c r="T113" s="580"/>
      <c r="U113" s="580"/>
      <c r="V113" s="580"/>
      <c r="W113" s="580"/>
      <c r="X113" s="580"/>
      <c r="Y113" s="580"/>
      <c r="Z113" s="580"/>
      <c r="AA113" s="582"/>
      <c r="AB113" s="573"/>
      <c r="AC113" s="565"/>
      <c r="AD113" s="565"/>
      <c r="AE113" s="565"/>
      <c r="AF113" s="565"/>
      <c r="AG113" s="376"/>
      <c r="AH113" s="386"/>
      <c r="AI113" s="348"/>
      <c r="AJ113" s="348"/>
      <c r="AK113" s="333" t="str">
        <f t="shared" si="41"/>
        <v>0</v>
      </c>
      <c r="AL113" s="348"/>
      <c r="AM113" s="333" t="str">
        <f t="shared" si="42"/>
        <v>0</v>
      </c>
      <c r="AN113" s="55"/>
      <c r="AO113" s="333" t="str">
        <f t="shared" si="43"/>
        <v>0</v>
      </c>
      <c r="AP113" s="348"/>
      <c r="AQ113" s="333" t="str">
        <f t="shared" si="44"/>
        <v>0</v>
      </c>
      <c r="AR113" s="348"/>
      <c r="AS113" s="333" t="str">
        <f t="shared" si="45"/>
        <v>0</v>
      </c>
      <c r="AT113" s="348"/>
      <c r="AU113" s="333" t="str">
        <f t="shared" si="46"/>
        <v>0</v>
      </c>
      <c r="AV113" s="55"/>
      <c r="AW113" s="333" t="str">
        <f t="shared" si="47"/>
        <v>0</v>
      </c>
      <c r="AX113" s="81" t="str">
        <f t="shared" si="48"/>
        <v/>
      </c>
      <c r="AY113" s="81" t="str">
        <f t="shared" si="49"/>
        <v/>
      </c>
      <c r="AZ113" s="82"/>
      <c r="BA113" s="81" t="str">
        <f t="shared" si="50"/>
        <v/>
      </c>
      <c r="BB113" s="81" t="str">
        <f>IFERROR(VLOOKUP((CONCATENATE(AY113,BA113)),Listados!$U$3:$V$11,2,FALSE),"")</f>
        <v/>
      </c>
      <c r="BC113" s="81" t="str">
        <f t="shared" si="51"/>
        <v/>
      </c>
      <c r="BD113" s="567"/>
      <c r="BE113" s="567"/>
      <c r="BF113" s="567"/>
      <c r="BG113" s="567"/>
      <c r="BH113" s="582"/>
      <c r="BI113" s="582"/>
      <c r="BJ113" s="582"/>
      <c r="BK113" s="582"/>
      <c r="BL113" s="336"/>
      <c r="BM113" s="336"/>
      <c r="BN113" s="336"/>
      <c r="BO113" s="336"/>
      <c r="BP113" s="336"/>
      <c r="BQ113" s="336"/>
      <c r="BR113" s="790"/>
      <c r="BS113" s="790"/>
      <c r="BT113" s="779"/>
      <c r="BU113" s="848"/>
      <c r="BV113" s="779"/>
      <c r="BW113" s="779"/>
    </row>
    <row r="114" spans="1:75">
      <c r="A114" s="931"/>
      <c r="B114" s="580"/>
      <c r="C114" s="582"/>
      <c r="D114" s="580"/>
      <c r="E114" s="375"/>
      <c r="F114" s="388"/>
      <c r="G114" s="348"/>
      <c r="H114" s="580"/>
      <c r="I114" s="580"/>
      <c r="J114" s="580"/>
      <c r="K114" s="580"/>
      <c r="L114" s="580"/>
      <c r="M114" s="580"/>
      <c r="N114" s="580"/>
      <c r="O114" s="580"/>
      <c r="P114" s="580"/>
      <c r="Q114" s="580"/>
      <c r="R114" s="580"/>
      <c r="S114" s="580"/>
      <c r="T114" s="580"/>
      <c r="U114" s="580"/>
      <c r="V114" s="580"/>
      <c r="W114" s="580"/>
      <c r="X114" s="580"/>
      <c r="Y114" s="580"/>
      <c r="Z114" s="580"/>
      <c r="AA114" s="582"/>
      <c r="AB114" s="573"/>
      <c r="AC114" s="565"/>
      <c r="AD114" s="565"/>
      <c r="AE114" s="565"/>
      <c r="AF114" s="565"/>
      <c r="AG114" s="376"/>
      <c r="AH114" s="347"/>
      <c r="AI114" s="348"/>
      <c r="AJ114" s="348"/>
      <c r="AK114" s="333" t="str">
        <f t="shared" si="41"/>
        <v>0</v>
      </c>
      <c r="AL114" s="348"/>
      <c r="AM114" s="333" t="str">
        <f t="shared" si="42"/>
        <v>0</v>
      </c>
      <c r="AN114" s="55"/>
      <c r="AO114" s="333" t="str">
        <f t="shared" si="43"/>
        <v>0</v>
      </c>
      <c r="AP114" s="348"/>
      <c r="AQ114" s="333" t="str">
        <f t="shared" si="44"/>
        <v>0</v>
      </c>
      <c r="AR114" s="348"/>
      <c r="AS114" s="333" t="str">
        <f t="shared" si="45"/>
        <v>0</v>
      </c>
      <c r="AT114" s="348"/>
      <c r="AU114" s="333" t="str">
        <f t="shared" si="46"/>
        <v>0</v>
      </c>
      <c r="AV114" s="55"/>
      <c r="AW114" s="333" t="str">
        <f t="shared" si="47"/>
        <v>0</v>
      </c>
      <c r="AX114" s="81" t="str">
        <f t="shared" si="48"/>
        <v/>
      </c>
      <c r="AY114" s="81" t="str">
        <f t="shared" si="49"/>
        <v/>
      </c>
      <c r="AZ114" s="82"/>
      <c r="BA114" s="81" t="str">
        <f t="shared" si="50"/>
        <v/>
      </c>
      <c r="BB114" s="81" t="str">
        <f>IFERROR(VLOOKUP((CONCATENATE(AY114,BA114)),Listados!$U$3:$V$11,2,FALSE),"")</f>
        <v/>
      </c>
      <c r="BC114" s="81" t="str">
        <f t="shared" si="51"/>
        <v/>
      </c>
      <c r="BD114" s="567"/>
      <c r="BE114" s="567"/>
      <c r="BF114" s="567"/>
      <c r="BG114" s="567"/>
      <c r="BH114" s="582"/>
      <c r="BI114" s="582"/>
      <c r="BJ114" s="582"/>
      <c r="BK114" s="582"/>
      <c r="BL114" s="336"/>
      <c r="BM114" s="336"/>
      <c r="BN114" s="339"/>
      <c r="BO114" s="339"/>
      <c r="BP114" s="336"/>
      <c r="BQ114" s="336"/>
      <c r="BR114" s="790"/>
      <c r="BS114" s="790"/>
      <c r="BT114" s="779"/>
      <c r="BU114" s="848"/>
      <c r="BV114" s="779"/>
      <c r="BW114" s="779"/>
    </row>
    <row r="115" spans="1:75">
      <c r="A115" s="932"/>
      <c r="B115" s="555"/>
      <c r="C115" s="557"/>
      <c r="D115" s="555"/>
      <c r="E115" s="375"/>
      <c r="F115" s="388"/>
      <c r="G115" s="348"/>
      <c r="H115" s="555"/>
      <c r="I115" s="555"/>
      <c r="J115" s="555"/>
      <c r="K115" s="555"/>
      <c r="L115" s="555"/>
      <c r="M115" s="555"/>
      <c r="N115" s="555"/>
      <c r="O115" s="555"/>
      <c r="P115" s="555"/>
      <c r="Q115" s="555"/>
      <c r="R115" s="555"/>
      <c r="S115" s="555"/>
      <c r="T115" s="555"/>
      <c r="U115" s="555"/>
      <c r="V115" s="555"/>
      <c r="W115" s="555"/>
      <c r="X115" s="555"/>
      <c r="Y115" s="555"/>
      <c r="Z115" s="555"/>
      <c r="AA115" s="557"/>
      <c r="AB115" s="573"/>
      <c r="AC115" s="565"/>
      <c r="AD115" s="565"/>
      <c r="AE115" s="565"/>
      <c r="AF115" s="565"/>
      <c r="AG115" s="376"/>
      <c r="AH115" s="347"/>
      <c r="AI115" s="348"/>
      <c r="AJ115" s="348"/>
      <c r="AK115" s="333" t="str">
        <f t="shared" si="41"/>
        <v>0</v>
      </c>
      <c r="AL115" s="348"/>
      <c r="AM115" s="333" t="str">
        <f t="shared" si="42"/>
        <v>0</v>
      </c>
      <c r="AN115" s="55"/>
      <c r="AO115" s="333" t="str">
        <f t="shared" si="43"/>
        <v>0</v>
      </c>
      <c r="AP115" s="348"/>
      <c r="AQ115" s="333" t="str">
        <f t="shared" si="44"/>
        <v>0</v>
      </c>
      <c r="AR115" s="348"/>
      <c r="AS115" s="333" t="str">
        <f t="shared" si="45"/>
        <v>0</v>
      </c>
      <c r="AT115" s="348"/>
      <c r="AU115" s="333" t="str">
        <f t="shared" si="46"/>
        <v>0</v>
      </c>
      <c r="AV115" s="55"/>
      <c r="AW115" s="333" t="str">
        <f t="shared" si="47"/>
        <v>0</v>
      </c>
      <c r="AX115" s="81" t="str">
        <f t="shared" si="48"/>
        <v/>
      </c>
      <c r="AY115" s="81" t="str">
        <f t="shared" si="49"/>
        <v/>
      </c>
      <c r="AZ115" s="82"/>
      <c r="BA115" s="81" t="str">
        <f t="shared" si="50"/>
        <v/>
      </c>
      <c r="BB115" s="81" t="str">
        <f>IFERROR(VLOOKUP((CONCATENATE(AY115,BA115)),Listados!$U$3:$V$11,2,FALSE),"")</f>
        <v/>
      </c>
      <c r="BC115" s="81" t="str">
        <f t="shared" si="51"/>
        <v/>
      </c>
      <c r="BD115" s="564"/>
      <c r="BE115" s="564"/>
      <c r="BF115" s="564"/>
      <c r="BG115" s="564"/>
      <c r="BH115" s="557"/>
      <c r="BI115" s="557"/>
      <c r="BJ115" s="557"/>
      <c r="BK115" s="557"/>
      <c r="BL115" s="336"/>
      <c r="BM115" s="336"/>
      <c r="BN115" s="339"/>
      <c r="BO115" s="339"/>
      <c r="BP115" s="336"/>
      <c r="BQ115" s="336"/>
      <c r="BR115" s="825"/>
      <c r="BS115" s="825"/>
      <c r="BT115" s="780"/>
      <c r="BU115" s="849"/>
      <c r="BV115" s="780"/>
      <c r="BW115" s="780"/>
    </row>
    <row r="116" spans="1:75">
      <c r="A116" s="930">
        <v>28</v>
      </c>
      <c r="B116" s="554"/>
      <c r="C116" s="556"/>
      <c r="D116" s="554"/>
      <c r="E116" s="375"/>
      <c r="F116" s="388"/>
      <c r="G116" s="348"/>
      <c r="H116" s="554"/>
      <c r="I116" s="554"/>
      <c r="J116" s="554"/>
      <c r="K116" s="554"/>
      <c r="L116" s="554"/>
      <c r="M116" s="554"/>
      <c r="N116" s="554"/>
      <c r="O116" s="554"/>
      <c r="P116" s="554"/>
      <c r="Q116" s="554"/>
      <c r="R116" s="554"/>
      <c r="S116" s="554"/>
      <c r="T116" s="554"/>
      <c r="U116" s="554"/>
      <c r="V116" s="554"/>
      <c r="W116" s="554"/>
      <c r="X116" s="554"/>
      <c r="Y116" s="554"/>
      <c r="Z116" s="554"/>
      <c r="AA116" s="556">
        <f>COUNTIF(H116:Z116, "SI")</f>
        <v>0</v>
      </c>
      <c r="AB116" s="573"/>
      <c r="AC116" s="565" t="e">
        <f>+VLOOKUP(AB116,Listados!$K$8:$L$12,2,0)</f>
        <v>#N/A</v>
      </c>
      <c r="AD116" s="565" t="str">
        <f>++IF(OR(AA116=0),"",IF(OR(AA116=1,AA116&lt;=5),"Moderado",IF(OR(AA116=6,AA116&lt;=11),"Mayor",IF(OR(AA116&gt;=12),"Catastrófico",""))))</f>
        <v/>
      </c>
      <c r="AE116" s="565" t="e">
        <f>+VLOOKUP(AD116,Listados!$K$13:$L$17,2,0)</f>
        <v>#N/A</v>
      </c>
      <c r="AF116" s="565" t="str">
        <f>IF(AND(AB116&lt;&gt;"",AD116&lt;&gt;""),VLOOKUP(AB116&amp;AD116,[3]Listados!$M$3:$N$27,2,FALSE),"")</f>
        <v/>
      </c>
      <c r="AG116" s="376"/>
      <c r="AH116" s="386"/>
      <c r="AI116" s="348"/>
      <c r="AJ116" s="348"/>
      <c r="AK116" s="333" t="str">
        <f>+IF(AJ116="si",15,"0")</f>
        <v>0</v>
      </c>
      <c r="AL116" s="348"/>
      <c r="AM116" s="333" t="str">
        <f>+IF(AL116="si",15,"0")</f>
        <v>0</v>
      </c>
      <c r="AN116" s="55"/>
      <c r="AO116" s="333" t="str">
        <f>+IF(AN116="si",15,"0")</f>
        <v>0</v>
      </c>
      <c r="AP116" s="348"/>
      <c r="AQ116" s="333" t="str">
        <f>+IF(AP116="Preventivo",15,IF(AP116="Detectivo",10,"0"))</f>
        <v>0</v>
      </c>
      <c r="AR116" s="348"/>
      <c r="AS116" s="333" t="str">
        <f>+IF(AR116="si",15,"0")</f>
        <v>0</v>
      </c>
      <c r="AT116" s="348"/>
      <c r="AU116" s="333" t="str">
        <f>+IF(AT116="si",15,"0")</f>
        <v>0</v>
      </c>
      <c r="AV116" s="55"/>
      <c r="AW116" s="333" t="str">
        <f>+IF(AV116="Completa",10,IF(AV116="Incompleta",5,"0"))</f>
        <v>0</v>
      </c>
      <c r="AX116" s="81" t="str">
        <f t="shared" si="48"/>
        <v/>
      </c>
      <c r="AY116" s="81" t="str">
        <f t="shared" si="49"/>
        <v/>
      </c>
      <c r="AZ116" s="82"/>
      <c r="BA116" s="81" t="str">
        <f t="shared" si="50"/>
        <v/>
      </c>
      <c r="BB116" s="81" t="str">
        <f>IFERROR(VLOOKUP((CONCATENATE(AY116,BA116)),Listados!$U$3:$V$11,2,FALSE),"")</f>
        <v/>
      </c>
      <c r="BC116" s="81" t="str">
        <f t="shared" si="51"/>
        <v/>
      </c>
      <c r="BD116" s="563" t="e">
        <f>AVERAGE(BC116:BC119)</f>
        <v>#DIV/0!</v>
      </c>
      <c r="BE116" s="563" t="e">
        <f>IF(BD116&lt;=50,"Débil",IF(BD116&lt;=99,"Moderado",IF(BD116=100,"fuerte","")))</f>
        <v>#DIV/0!</v>
      </c>
      <c r="BF116" s="563" t="e">
        <f>+IF(AND(AI116="Preventivo",BE116="Fuerte"),2,IF(AND(AI116="Preventivo",BE116="Moderado"),1,0))</f>
        <v>#DIV/0!</v>
      </c>
      <c r="BG116" s="563" t="e">
        <f>+AC116-BF116</f>
        <v>#N/A</v>
      </c>
      <c r="BH116" s="556" t="e">
        <f>+VLOOKUP(MIN(BG116),Listados!$J$18:$K$24,2,TRUE)</f>
        <v>#N/A</v>
      </c>
      <c r="BI116" s="556" t="str">
        <f>AD116</f>
        <v/>
      </c>
      <c r="BJ116" s="556" t="e">
        <f>IF(AND(BH116&lt;&gt;"",BI116&lt;&gt;""),VLOOKUP(BH116&amp;BI116,Listados!$M$3:$N$27,2,FALSE),"")</f>
        <v>#N/A</v>
      </c>
      <c r="BK116" s="556" t="e">
        <f>+VLOOKUP(BJ116,Listados!$P$3:$Q$6,2,FALSE)</f>
        <v>#N/A</v>
      </c>
      <c r="BL116" s="336"/>
      <c r="BM116" s="336"/>
      <c r="BN116" s="339"/>
      <c r="BO116" s="361"/>
      <c r="BP116" s="336"/>
      <c r="BQ116" s="336"/>
      <c r="BR116" s="935"/>
      <c r="BS116" s="935"/>
      <c r="BT116" s="936"/>
      <c r="BU116" s="937"/>
      <c r="BV116" s="936"/>
      <c r="BW116" s="936"/>
    </row>
    <row r="117" spans="1:75">
      <c r="A117" s="931"/>
      <c r="B117" s="580"/>
      <c r="C117" s="582"/>
      <c r="D117" s="580"/>
      <c r="E117" s="375"/>
      <c r="F117" s="388"/>
      <c r="G117" s="348"/>
      <c r="H117" s="580"/>
      <c r="I117" s="580"/>
      <c r="J117" s="580"/>
      <c r="K117" s="580"/>
      <c r="L117" s="580"/>
      <c r="M117" s="580"/>
      <c r="N117" s="580"/>
      <c r="O117" s="580"/>
      <c r="P117" s="580"/>
      <c r="Q117" s="580"/>
      <c r="R117" s="580"/>
      <c r="S117" s="580"/>
      <c r="T117" s="580"/>
      <c r="U117" s="580"/>
      <c r="V117" s="580"/>
      <c r="W117" s="580"/>
      <c r="X117" s="580"/>
      <c r="Y117" s="580"/>
      <c r="Z117" s="580"/>
      <c r="AA117" s="582"/>
      <c r="AB117" s="573"/>
      <c r="AC117" s="565"/>
      <c r="AD117" s="565"/>
      <c r="AE117" s="565"/>
      <c r="AF117" s="565"/>
      <c r="AG117" s="376"/>
      <c r="AH117" s="386"/>
      <c r="AI117" s="348"/>
      <c r="AJ117" s="348"/>
      <c r="AK117" s="333" t="str">
        <f t="shared" si="41"/>
        <v>0</v>
      </c>
      <c r="AL117" s="348"/>
      <c r="AM117" s="333" t="str">
        <f t="shared" si="42"/>
        <v>0</v>
      </c>
      <c r="AN117" s="55"/>
      <c r="AO117" s="333" t="str">
        <f t="shared" si="43"/>
        <v>0</v>
      </c>
      <c r="AP117" s="348"/>
      <c r="AQ117" s="333" t="str">
        <f t="shared" si="44"/>
        <v>0</v>
      </c>
      <c r="AR117" s="348"/>
      <c r="AS117" s="333" t="str">
        <f t="shared" si="45"/>
        <v>0</v>
      </c>
      <c r="AT117" s="348"/>
      <c r="AU117" s="333" t="str">
        <f t="shared" si="46"/>
        <v>0</v>
      </c>
      <c r="AV117" s="55"/>
      <c r="AW117" s="333" t="str">
        <f t="shared" si="47"/>
        <v>0</v>
      </c>
      <c r="AX117" s="81" t="str">
        <f t="shared" si="48"/>
        <v/>
      </c>
      <c r="AY117" s="81" t="str">
        <f t="shared" si="49"/>
        <v/>
      </c>
      <c r="AZ117" s="82"/>
      <c r="BA117" s="81" t="str">
        <f t="shared" si="50"/>
        <v/>
      </c>
      <c r="BB117" s="81" t="str">
        <f>IFERROR(VLOOKUP((CONCATENATE(AY117,BA117)),Listados!$U$3:$V$11,2,FALSE),"")</f>
        <v/>
      </c>
      <c r="BC117" s="81" t="str">
        <f t="shared" si="51"/>
        <v/>
      </c>
      <c r="BD117" s="567"/>
      <c r="BE117" s="567"/>
      <c r="BF117" s="567"/>
      <c r="BG117" s="567"/>
      <c r="BH117" s="582"/>
      <c r="BI117" s="582"/>
      <c r="BJ117" s="582"/>
      <c r="BK117" s="582"/>
      <c r="BL117" s="336"/>
      <c r="BM117" s="336"/>
      <c r="BN117" s="336"/>
      <c r="BO117" s="336"/>
      <c r="BP117" s="336"/>
      <c r="BQ117" s="336"/>
      <c r="BR117" s="790"/>
      <c r="BS117" s="790"/>
      <c r="BT117" s="779"/>
      <c r="BU117" s="848"/>
      <c r="BV117" s="779"/>
      <c r="BW117" s="779"/>
    </row>
    <row r="118" spans="1:75">
      <c r="A118" s="931"/>
      <c r="B118" s="580"/>
      <c r="C118" s="582"/>
      <c r="D118" s="580"/>
      <c r="E118" s="375"/>
      <c r="F118" s="388"/>
      <c r="G118" s="348"/>
      <c r="H118" s="580"/>
      <c r="I118" s="580"/>
      <c r="J118" s="580"/>
      <c r="K118" s="580"/>
      <c r="L118" s="580"/>
      <c r="M118" s="580"/>
      <c r="N118" s="580"/>
      <c r="O118" s="580"/>
      <c r="P118" s="580"/>
      <c r="Q118" s="580"/>
      <c r="R118" s="580"/>
      <c r="S118" s="580"/>
      <c r="T118" s="580"/>
      <c r="U118" s="580"/>
      <c r="V118" s="580"/>
      <c r="W118" s="580"/>
      <c r="X118" s="580"/>
      <c r="Y118" s="580"/>
      <c r="Z118" s="580"/>
      <c r="AA118" s="582"/>
      <c r="AB118" s="573"/>
      <c r="AC118" s="565"/>
      <c r="AD118" s="565"/>
      <c r="AE118" s="565"/>
      <c r="AF118" s="565"/>
      <c r="AG118" s="376"/>
      <c r="AH118" s="347"/>
      <c r="AI118" s="348"/>
      <c r="AJ118" s="348"/>
      <c r="AK118" s="333" t="str">
        <f t="shared" si="41"/>
        <v>0</v>
      </c>
      <c r="AL118" s="348"/>
      <c r="AM118" s="333" t="str">
        <f t="shared" si="42"/>
        <v>0</v>
      </c>
      <c r="AN118" s="55"/>
      <c r="AO118" s="333" t="str">
        <f t="shared" si="43"/>
        <v>0</v>
      </c>
      <c r="AP118" s="348"/>
      <c r="AQ118" s="333" t="str">
        <f t="shared" si="44"/>
        <v>0</v>
      </c>
      <c r="AR118" s="348"/>
      <c r="AS118" s="333" t="str">
        <f t="shared" si="45"/>
        <v>0</v>
      </c>
      <c r="AT118" s="348"/>
      <c r="AU118" s="333" t="str">
        <f t="shared" si="46"/>
        <v>0</v>
      </c>
      <c r="AV118" s="55"/>
      <c r="AW118" s="333" t="str">
        <f t="shared" si="47"/>
        <v>0</v>
      </c>
      <c r="AX118" s="81" t="str">
        <f t="shared" si="48"/>
        <v/>
      </c>
      <c r="AY118" s="81" t="str">
        <f t="shared" si="49"/>
        <v/>
      </c>
      <c r="AZ118" s="82"/>
      <c r="BA118" s="81" t="str">
        <f t="shared" si="50"/>
        <v/>
      </c>
      <c r="BB118" s="81" t="str">
        <f>IFERROR(VLOOKUP((CONCATENATE(AY118,BA118)),Listados!$U$3:$V$11,2,FALSE),"")</f>
        <v/>
      </c>
      <c r="BC118" s="81" t="str">
        <f t="shared" si="51"/>
        <v/>
      </c>
      <c r="BD118" s="567"/>
      <c r="BE118" s="567"/>
      <c r="BF118" s="567"/>
      <c r="BG118" s="567"/>
      <c r="BH118" s="582"/>
      <c r="BI118" s="582"/>
      <c r="BJ118" s="582"/>
      <c r="BK118" s="582"/>
      <c r="BL118" s="336"/>
      <c r="BM118" s="336"/>
      <c r="BN118" s="339"/>
      <c r="BO118" s="339"/>
      <c r="BP118" s="336"/>
      <c r="BQ118" s="336"/>
      <c r="BR118" s="790"/>
      <c r="BS118" s="790"/>
      <c r="BT118" s="779"/>
      <c r="BU118" s="848"/>
      <c r="BV118" s="779"/>
      <c r="BW118" s="779"/>
    </row>
    <row r="119" spans="1:75">
      <c r="A119" s="932"/>
      <c r="B119" s="555"/>
      <c r="C119" s="557"/>
      <c r="D119" s="555"/>
      <c r="E119" s="375"/>
      <c r="F119" s="388"/>
      <c r="G119" s="348"/>
      <c r="H119" s="555"/>
      <c r="I119" s="555"/>
      <c r="J119" s="555"/>
      <c r="K119" s="555"/>
      <c r="L119" s="555"/>
      <c r="M119" s="555"/>
      <c r="N119" s="555"/>
      <c r="O119" s="555"/>
      <c r="P119" s="555"/>
      <c r="Q119" s="555"/>
      <c r="R119" s="555"/>
      <c r="S119" s="555"/>
      <c r="T119" s="555"/>
      <c r="U119" s="555"/>
      <c r="V119" s="555"/>
      <c r="W119" s="555"/>
      <c r="X119" s="555"/>
      <c r="Y119" s="555"/>
      <c r="Z119" s="555"/>
      <c r="AA119" s="557"/>
      <c r="AB119" s="573"/>
      <c r="AC119" s="565"/>
      <c r="AD119" s="565"/>
      <c r="AE119" s="565"/>
      <c r="AF119" s="565"/>
      <c r="AG119" s="376"/>
      <c r="AH119" s="347"/>
      <c r="AI119" s="348"/>
      <c r="AJ119" s="348"/>
      <c r="AK119" s="333" t="str">
        <f t="shared" si="41"/>
        <v>0</v>
      </c>
      <c r="AL119" s="348"/>
      <c r="AM119" s="333" t="str">
        <f t="shared" si="42"/>
        <v>0</v>
      </c>
      <c r="AN119" s="55"/>
      <c r="AO119" s="333" t="str">
        <f t="shared" si="43"/>
        <v>0</v>
      </c>
      <c r="AP119" s="348"/>
      <c r="AQ119" s="333" t="str">
        <f t="shared" si="44"/>
        <v>0</v>
      </c>
      <c r="AR119" s="348"/>
      <c r="AS119" s="333" t="str">
        <f t="shared" si="45"/>
        <v>0</v>
      </c>
      <c r="AT119" s="348"/>
      <c r="AU119" s="333" t="str">
        <f t="shared" si="46"/>
        <v>0</v>
      </c>
      <c r="AV119" s="55"/>
      <c r="AW119" s="333" t="str">
        <f t="shared" si="47"/>
        <v>0</v>
      </c>
      <c r="AX119" s="81" t="str">
        <f t="shared" si="48"/>
        <v/>
      </c>
      <c r="AY119" s="81" t="str">
        <f t="shared" si="49"/>
        <v/>
      </c>
      <c r="AZ119" s="82"/>
      <c r="BA119" s="81" t="str">
        <f t="shared" si="50"/>
        <v/>
      </c>
      <c r="BB119" s="81" t="str">
        <f>IFERROR(VLOOKUP((CONCATENATE(AY119,BA119)),Listados!$U$3:$V$11,2,FALSE),"")</f>
        <v/>
      </c>
      <c r="BC119" s="81" t="str">
        <f t="shared" si="51"/>
        <v/>
      </c>
      <c r="BD119" s="564"/>
      <c r="BE119" s="564"/>
      <c r="BF119" s="564"/>
      <c r="BG119" s="564"/>
      <c r="BH119" s="557"/>
      <c r="BI119" s="557"/>
      <c r="BJ119" s="557"/>
      <c r="BK119" s="557"/>
      <c r="BL119" s="336"/>
      <c r="BM119" s="336"/>
      <c r="BN119" s="339"/>
      <c r="BO119" s="339"/>
      <c r="BP119" s="336"/>
      <c r="BQ119" s="336"/>
      <c r="BR119" s="825"/>
      <c r="BS119" s="825"/>
      <c r="BT119" s="780"/>
      <c r="BU119" s="849"/>
      <c r="BV119" s="780"/>
      <c r="BW119" s="780"/>
    </row>
    <row r="120" spans="1:75">
      <c r="A120" s="930">
        <v>29</v>
      </c>
      <c r="B120" s="554"/>
      <c r="C120" s="556"/>
      <c r="D120" s="554"/>
      <c r="E120" s="375"/>
      <c r="F120" s="388"/>
      <c r="G120" s="348"/>
      <c r="H120" s="554"/>
      <c r="I120" s="554"/>
      <c r="J120" s="554"/>
      <c r="K120" s="554"/>
      <c r="L120" s="554"/>
      <c r="M120" s="554"/>
      <c r="N120" s="554"/>
      <c r="O120" s="554"/>
      <c r="P120" s="554"/>
      <c r="Q120" s="554"/>
      <c r="R120" s="554"/>
      <c r="S120" s="554"/>
      <c r="T120" s="554"/>
      <c r="U120" s="554"/>
      <c r="V120" s="554"/>
      <c r="W120" s="554"/>
      <c r="X120" s="554"/>
      <c r="Y120" s="554"/>
      <c r="Z120" s="554"/>
      <c r="AA120" s="556">
        <f>COUNTIF(H120:Z120, "SI")</f>
        <v>0</v>
      </c>
      <c r="AB120" s="573"/>
      <c r="AC120" s="565" t="e">
        <f>+VLOOKUP(AB120,Listados!$K$8:$L$12,2,0)</f>
        <v>#N/A</v>
      </c>
      <c r="AD120" s="565" t="str">
        <f>++IF(OR(AA120=0),"",IF(OR(AA120=1,AA120&lt;=5),"Moderado",IF(OR(AA120=6,AA120&lt;=11),"Mayor",IF(OR(AA120&gt;=12),"Catastrófico",""))))</f>
        <v/>
      </c>
      <c r="AE120" s="565" t="e">
        <f>+VLOOKUP(AD120,Listados!$K$13:$L$17,2,0)</f>
        <v>#N/A</v>
      </c>
      <c r="AF120" s="565" t="str">
        <f>IF(AND(AB120&lt;&gt;"",AD120&lt;&gt;""),VLOOKUP(AB120&amp;AD120,[3]Listados!$M$3:$N$27,2,FALSE),"")</f>
        <v/>
      </c>
      <c r="AG120" s="376"/>
      <c r="AH120" s="386"/>
      <c r="AI120" s="348"/>
      <c r="AJ120" s="348"/>
      <c r="AK120" s="333" t="str">
        <f>+IF(AJ120="si",15,"0")</f>
        <v>0</v>
      </c>
      <c r="AL120" s="348"/>
      <c r="AM120" s="333" t="str">
        <f>+IF(AL120="si",15,"0")</f>
        <v>0</v>
      </c>
      <c r="AN120" s="55"/>
      <c r="AO120" s="333" t="str">
        <f>+IF(AN120="si",15,"0")</f>
        <v>0</v>
      </c>
      <c r="AP120" s="348"/>
      <c r="AQ120" s="333" t="str">
        <f>+IF(AP120="Preventivo",15,IF(AP120="Detectivo",10,"0"))</f>
        <v>0</v>
      </c>
      <c r="AR120" s="348"/>
      <c r="AS120" s="333" t="str">
        <f>+IF(AR120="si",15,"0")</f>
        <v>0</v>
      </c>
      <c r="AT120" s="348"/>
      <c r="AU120" s="333" t="str">
        <f>+IF(AT120="si",15,"0")</f>
        <v>0</v>
      </c>
      <c r="AV120" s="55"/>
      <c r="AW120" s="333" t="str">
        <f>+IF(AV120="Completa",10,IF(AV120="Incompleta",5,"0"))</f>
        <v>0</v>
      </c>
      <c r="AX120" s="81" t="str">
        <f t="shared" si="48"/>
        <v/>
      </c>
      <c r="AY120" s="81" t="str">
        <f t="shared" si="49"/>
        <v/>
      </c>
      <c r="AZ120" s="82"/>
      <c r="BA120" s="81" t="str">
        <f t="shared" si="50"/>
        <v/>
      </c>
      <c r="BB120" s="81" t="str">
        <f>IFERROR(VLOOKUP((CONCATENATE(AY120,BA120)),Listados!$U$3:$V$11,2,FALSE),"")</f>
        <v/>
      </c>
      <c r="BC120" s="81" t="str">
        <f t="shared" si="51"/>
        <v/>
      </c>
      <c r="BD120" s="563" t="e">
        <f>AVERAGE(BC120:BC123)</f>
        <v>#DIV/0!</v>
      </c>
      <c r="BE120" s="563" t="e">
        <f>IF(BD120&lt;=50,"Débil",IF(BD120&lt;=99,"Moderado",IF(BD120=100,"fuerte","")))</f>
        <v>#DIV/0!</v>
      </c>
      <c r="BF120" s="563" t="e">
        <f>+IF(AND(AI120="Preventivo",BE120="Fuerte"),2,IF(AND(AI120="Preventivo",BE120="Moderado"),1,0))</f>
        <v>#DIV/0!</v>
      </c>
      <c r="BG120" s="563" t="e">
        <f>+AC120-BF120</f>
        <v>#N/A</v>
      </c>
      <c r="BH120" s="556" t="e">
        <f>+VLOOKUP(MIN(BG120),Listados!$J$18:$K$24,2,TRUE)</f>
        <v>#N/A</v>
      </c>
      <c r="BI120" s="556" t="str">
        <f>AD120</f>
        <v/>
      </c>
      <c r="BJ120" s="556" t="e">
        <f>IF(AND(BH120&lt;&gt;"",BI120&lt;&gt;""),VLOOKUP(BH120&amp;BI120,Listados!$M$3:$N$27,2,FALSE),"")</f>
        <v>#N/A</v>
      </c>
      <c r="BK120" s="556" t="e">
        <f>+VLOOKUP(BJ120,Listados!$P$3:$Q$6,2,FALSE)</f>
        <v>#N/A</v>
      </c>
      <c r="BL120" s="336"/>
      <c r="BM120" s="336"/>
      <c r="BN120" s="339"/>
      <c r="BO120" s="361"/>
      <c r="BP120" s="336"/>
      <c r="BQ120" s="336"/>
      <c r="BR120" s="935"/>
      <c r="BS120" s="935"/>
      <c r="BT120" s="936"/>
      <c r="BU120" s="937"/>
      <c r="BV120" s="936"/>
      <c r="BW120" s="936"/>
    </row>
    <row r="121" spans="1:75">
      <c r="A121" s="931"/>
      <c r="B121" s="580"/>
      <c r="C121" s="582"/>
      <c r="D121" s="580"/>
      <c r="E121" s="375"/>
      <c r="F121" s="388"/>
      <c r="G121" s="348"/>
      <c r="H121" s="580"/>
      <c r="I121" s="580"/>
      <c r="J121" s="580"/>
      <c r="K121" s="580"/>
      <c r="L121" s="580"/>
      <c r="M121" s="580"/>
      <c r="N121" s="580"/>
      <c r="O121" s="580"/>
      <c r="P121" s="580"/>
      <c r="Q121" s="580"/>
      <c r="R121" s="580"/>
      <c r="S121" s="580"/>
      <c r="T121" s="580"/>
      <c r="U121" s="580"/>
      <c r="V121" s="580"/>
      <c r="W121" s="580"/>
      <c r="X121" s="580"/>
      <c r="Y121" s="580"/>
      <c r="Z121" s="580"/>
      <c r="AA121" s="582"/>
      <c r="AB121" s="573"/>
      <c r="AC121" s="565"/>
      <c r="AD121" s="565"/>
      <c r="AE121" s="565"/>
      <c r="AF121" s="565"/>
      <c r="AG121" s="376"/>
      <c r="AH121" s="386"/>
      <c r="AI121" s="348"/>
      <c r="AJ121" s="348"/>
      <c r="AK121" s="333" t="str">
        <f t="shared" si="41"/>
        <v>0</v>
      </c>
      <c r="AL121" s="348"/>
      <c r="AM121" s="333" t="str">
        <f t="shared" si="42"/>
        <v>0</v>
      </c>
      <c r="AN121" s="55"/>
      <c r="AO121" s="333" t="str">
        <f t="shared" si="43"/>
        <v>0</v>
      </c>
      <c r="AP121" s="348"/>
      <c r="AQ121" s="333" t="str">
        <f t="shared" si="44"/>
        <v>0</v>
      </c>
      <c r="AR121" s="348"/>
      <c r="AS121" s="333" t="str">
        <f t="shared" si="45"/>
        <v>0</v>
      </c>
      <c r="AT121" s="348"/>
      <c r="AU121" s="333" t="str">
        <f t="shared" si="46"/>
        <v>0</v>
      </c>
      <c r="AV121" s="55"/>
      <c r="AW121" s="333" t="str">
        <f t="shared" si="47"/>
        <v>0</v>
      </c>
      <c r="AX121" s="81" t="str">
        <f t="shared" si="48"/>
        <v/>
      </c>
      <c r="AY121" s="81" t="str">
        <f t="shared" si="49"/>
        <v/>
      </c>
      <c r="AZ121" s="82"/>
      <c r="BA121" s="81" t="str">
        <f t="shared" si="50"/>
        <v/>
      </c>
      <c r="BB121" s="81" t="str">
        <f>IFERROR(VLOOKUP((CONCATENATE(AY121,BA121)),Listados!$U$3:$V$11,2,FALSE),"")</f>
        <v/>
      </c>
      <c r="BC121" s="81" t="str">
        <f t="shared" si="51"/>
        <v/>
      </c>
      <c r="BD121" s="567"/>
      <c r="BE121" s="567"/>
      <c r="BF121" s="567"/>
      <c r="BG121" s="567"/>
      <c r="BH121" s="582"/>
      <c r="BI121" s="582"/>
      <c r="BJ121" s="582"/>
      <c r="BK121" s="582"/>
      <c r="BL121" s="336"/>
      <c r="BM121" s="336"/>
      <c r="BN121" s="336"/>
      <c r="BO121" s="336"/>
      <c r="BP121" s="336"/>
      <c r="BQ121" s="336"/>
      <c r="BR121" s="790"/>
      <c r="BS121" s="790"/>
      <c r="BT121" s="779"/>
      <c r="BU121" s="848"/>
      <c r="BV121" s="779"/>
      <c r="BW121" s="779"/>
    </row>
    <row r="122" spans="1:75">
      <c r="A122" s="931"/>
      <c r="B122" s="580"/>
      <c r="C122" s="582"/>
      <c r="D122" s="580"/>
      <c r="E122" s="375"/>
      <c r="F122" s="388"/>
      <c r="G122" s="348"/>
      <c r="H122" s="580"/>
      <c r="I122" s="580"/>
      <c r="J122" s="580"/>
      <c r="K122" s="580"/>
      <c r="L122" s="580"/>
      <c r="M122" s="580"/>
      <c r="N122" s="580"/>
      <c r="O122" s="580"/>
      <c r="P122" s="580"/>
      <c r="Q122" s="580"/>
      <c r="R122" s="580"/>
      <c r="S122" s="580"/>
      <c r="T122" s="580"/>
      <c r="U122" s="580"/>
      <c r="V122" s="580"/>
      <c r="W122" s="580"/>
      <c r="X122" s="580"/>
      <c r="Y122" s="580"/>
      <c r="Z122" s="580"/>
      <c r="AA122" s="582"/>
      <c r="AB122" s="573"/>
      <c r="AC122" s="565"/>
      <c r="AD122" s="565"/>
      <c r="AE122" s="565"/>
      <c r="AF122" s="565"/>
      <c r="AG122" s="376"/>
      <c r="AH122" s="347"/>
      <c r="AI122" s="348"/>
      <c r="AJ122" s="348"/>
      <c r="AK122" s="333" t="str">
        <f t="shared" si="41"/>
        <v>0</v>
      </c>
      <c r="AL122" s="348"/>
      <c r="AM122" s="333" t="str">
        <f t="shared" si="42"/>
        <v>0</v>
      </c>
      <c r="AN122" s="55"/>
      <c r="AO122" s="333" t="str">
        <f t="shared" si="43"/>
        <v>0</v>
      </c>
      <c r="AP122" s="348"/>
      <c r="AQ122" s="333" t="str">
        <f t="shared" si="44"/>
        <v>0</v>
      </c>
      <c r="AR122" s="348"/>
      <c r="AS122" s="333" t="str">
        <f t="shared" si="45"/>
        <v>0</v>
      </c>
      <c r="AT122" s="348"/>
      <c r="AU122" s="333" t="str">
        <f t="shared" si="46"/>
        <v>0</v>
      </c>
      <c r="AV122" s="55"/>
      <c r="AW122" s="333" t="str">
        <f t="shared" si="47"/>
        <v>0</v>
      </c>
      <c r="AX122" s="81" t="str">
        <f t="shared" si="48"/>
        <v/>
      </c>
      <c r="AY122" s="81" t="str">
        <f t="shared" si="49"/>
        <v/>
      </c>
      <c r="AZ122" s="82"/>
      <c r="BA122" s="81" t="str">
        <f t="shared" si="50"/>
        <v/>
      </c>
      <c r="BB122" s="81" t="str">
        <f>IFERROR(VLOOKUP((CONCATENATE(AY122,BA122)),Listados!$U$3:$V$11,2,FALSE),"")</f>
        <v/>
      </c>
      <c r="BC122" s="81" t="str">
        <f t="shared" si="51"/>
        <v/>
      </c>
      <c r="BD122" s="567"/>
      <c r="BE122" s="567"/>
      <c r="BF122" s="567"/>
      <c r="BG122" s="567"/>
      <c r="BH122" s="582"/>
      <c r="BI122" s="582"/>
      <c r="BJ122" s="582"/>
      <c r="BK122" s="582"/>
      <c r="BL122" s="336"/>
      <c r="BM122" s="336"/>
      <c r="BN122" s="339"/>
      <c r="BO122" s="339"/>
      <c r="BP122" s="336"/>
      <c r="BQ122" s="336"/>
      <c r="BR122" s="790"/>
      <c r="BS122" s="790"/>
      <c r="BT122" s="779"/>
      <c r="BU122" s="848"/>
      <c r="BV122" s="779"/>
      <c r="BW122" s="779"/>
    </row>
    <row r="123" spans="1:75">
      <c r="A123" s="932"/>
      <c r="B123" s="555"/>
      <c r="C123" s="557"/>
      <c r="D123" s="555"/>
      <c r="E123" s="375"/>
      <c r="F123" s="388"/>
      <c r="G123" s="348"/>
      <c r="H123" s="555"/>
      <c r="I123" s="555"/>
      <c r="J123" s="555"/>
      <c r="K123" s="555"/>
      <c r="L123" s="555"/>
      <c r="M123" s="555"/>
      <c r="N123" s="555"/>
      <c r="O123" s="555"/>
      <c r="P123" s="555"/>
      <c r="Q123" s="555"/>
      <c r="R123" s="555"/>
      <c r="S123" s="555"/>
      <c r="T123" s="555"/>
      <c r="U123" s="555"/>
      <c r="V123" s="555"/>
      <c r="W123" s="555"/>
      <c r="X123" s="555"/>
      <c r="Y123" s="555"/>
      <c r="Z123" s="555"/>
      <c r="AA123" s="557"/>
      <c r="AB123" s="573"/>
      <c r="AC123" s="565"/>
      <c r="AD123" s="565"/>
      <c r="AE123" s="565"/>
      <c r="AF123" s="565"/>
      <c r="AG123" s="376"/>
      <c r="AH123" s="347"/>
      <c r="AI123" s="348"/>
      <c r="AJ123" s="348"/>
      <c r="AK123" s="333" t="str">
        <f t="shared" si="41"/>
        <v>0</v>
      </c>
      <c r="AL123" s="348"/>
      <c r="AM123" s="333" t="str">
        <f t="shared" si="42"/>
        <v>0</v>
      </c>
      <c r="AN123" s="55"/>
      <c r="AO123" s="333" t="str">
        <f t="shared" si="43"/>
        <v>0</v>
      </c>
      <c r="AP123" s="348"/>
      <c r="AQ123" s="333" t="str">
        <f t="shared" si="44"/>
        <v>0</v>
      </c>
      <c r="AR123" s="348"/>
      <c r="AS123" s="333" t="str">
        <f t="shared" si="45"/>
        <v>0</v>
      </c>
      <c r="AT123" s="348"/>
      <c r="AU123" s="333" t="str">
        <f t="shared" si="46"/>
        <v>0</v>
      </c>
      <c r="AV123" s="55"/>
      <c r="AW123" s="333" t="str">
        <f t="shared" si="47"/>
        <v>0</v>
      </c>
      <c r="AX123" s="81" t="str">
        <f t="shared" si="48"/>
        <v/>
      </c>
      <c r="AY123" s="81" t="str">
        <f t="shared" si="49"/>
        <v/>
      </c>
      <c r="AZ123" s="82"/>
      <c r="BA123" s="81" t="str">
        <f t="shared" si="50"/>
        <v/>
      </c>
      <c r="BB123" s="81" t="str">
        <f>IFERROR(VLOOKUP((CONCATENATE(AY123,BA123)),Listados!$U$3:$V$11,2,FALSE),"")</f>
        <v/>
      </c>
      <c r="BC123" s="81" t="str">
        <f t="shared" si="51"/>
        <v/>
      </c>
      <c r="BD123" s="564"/>
      <c r="BE123" s="564"/>
      <c r="BF123" s="564"/>
      <c r="BG123" s="564"/>
      <c r="BH123" s="557"/>
      <c r="BI123" s="557"/>
      <c r="BJ123" s="557"/>
      <c r="BK123" s="557"/>
      <c r="BL123" s="336"/>
      <c r="BM123" s="336"/>
      <c r="BN123" s="339"/>
      <c r="BO123" s="339"/>
      <c r="BP123" s="336"/>
      <c r="BQ123" s="336"/>
      <c r="BR123" s="825"/>
      <c r="BS123" s="825"/>
      <c r="BT123" s="780"/>
      <c r="BU123" s="849"/>
      <c r="BV123" s="780"/>
      <c r="BW123" s="780"/>
    </row>
    <row r="124" spans="1:75">
      <c r="A124" s="930">
        <v>30</v>
      </c>
      <c r="B124" s="554"/>
      <c r="C124" s="556"/>
      <c r="D124" s="554"/>
      <c r="E124" s="375"/>
      <c r="F124" s="388"/>
      <c r="G124" s="348"/>
      <c r="H124" s="554"/>
      <c r="I124" s="554"/>
      <c r="J124" s="554"/>
      <c r="K124" s="554"/>
      <c r="L124" s="554"/>
      <c r="M124" s="554"/>
      <c r="N124" s="554"/>
      <c r="O124" s="554"/>
      <c r="P124" s="554"/>
      <c r="Q124" s="554"/>
      <c r="R124" s="554"/>
      <c r="S124" s="554"/>
      <c r="T124" s="554"/>
      <c r="U124" s="554"/>
      <c r="V124" s="554"/>
      <c r="W124" s="554"/>
      <c r="X124" s="554"/>
      <c r="Y124" s="554"/>
      <c r="Z124" s="554"/>
      <c r="AA124" s="556">
        <f>COUNTIF(H124:Z124, "SI")</f>
        <v>0</v>
      </c>
      <c r="AB124" s="573"/>
      <c r="AC124" s="565" t="e">
        <f>+VLOOKUP(AB124,Listados!$K$8:$L$12,2,0)</f>
        <v>#N/A</v>
      </c>
      <c r="AD124" s="565" t="str">
        <f>++IF(OR(AA124=0),"",IF(OR(AA124=1,AA124&lt;=5),"Moderado",IF(OR(AA124=6,AA124&lt;=11),"Mayor",IF(OR(AA124&gt;=12),"Catastrófico",""))))</f>
        <v/>
      </c>
      <c r="AE124" s="565" t="e">
        <f>+VLOOKUP(AD124,Listados!$K$13:$L$17,2,0)</f>
        <v>#N/A</v>
      </c>
      <c r="AF124" s="565" t="str">
        <f>IF(AND(AB124&lt;&gt;"",AD124&lt;&gt;""),VLOOKUP(AB124&amp;AD124,[3]Listados!$M$3:$N$27,2,FALSE),"")</f>
        <v/>
      </c>
      <c r="AG124" s="376"/>
      <c r="AH124" s="386"/>
      <c r="AI124" s="348"/>
      <c r="AJ124" s="348"/>
      <c r="AK124" s="333" t="str">
        <f>+IF(AJ124="si",15,"0")</f>
        <v>0</v>
      </c>
      <c r="AL124" s="348"/>
      <c r="AM124" s="333" t="str">
        <f>+IF(AL124="si",15,"0")</f>
        <v>0</v>
      </c>
      <c r="AN124" s="55"/>
      <c r="AO124" s="333" t="str">
        <f>+IF(AN124="si",15,"0")</f>
        <v>0</v>
      </c>
      <c r="AP124" s="348"/>
      <c r="AQ124" s="333" t="str">
        <f>+IF(AP124="Preventivo",15,IF(AP124="Detectivo",10,"0"))</f>
        <v>0</v>
      </c>
      <c r="AR124" s="348"/>
      <c r="AS124" s="333" t="str">
        <f>+IF(AR124="si",15,"0")</f>
        <v>0</v>
      </c>
      <c r="AT124" s="348"/>
      <c r="AU124" s="333" t="str">
        <f>+IF(AT124="si",15,"0")</f>
        <v>0</v>
      </c>
      <c r="AV124" s="55"/>
      <c r="AW124" s="333" t="str">
        <f>+IF(AV124="Completa",10,IF(AV124="Incompleta",5,"0"))</f>
        <v>0</v>
      </c>
      <c r="AX124" s="81" t="str">
        <f t="shared" ref="AX124:AX127" si="52">IF((SUM(AK124,AM124,AO124,AQ124,AS124,AU124,AW124)=0),"",(SUM(AK124,AM124,AO124,AQ124,AS124,AU124,AW124)))</f>
        <v/>
      </c>
      <c r="AY124" s="81" t="str">
        <f t="shared" ref="AY124:AY127" si="53">IF(AX124&lt;=85,"Débil",IF(AX124&lt;=95,"Moderado",IF(AX124=100,"Fuerte","")))</f>
        <v/>
      </c>
      <c r="AZ124" s="82"/>
      <c r="BA124" s="81" t="str">
        <f t="shared" si="50"/>
        <v/>
      </c>
      <c r="BB124" s="81" t="str">
        <f>IFERROR(VLOOKUP((CONCATENATE(AY124,BA124)),Listados!$U$3:$V$11,2,FALSE),"")</f>
        <v/>
      </c>
      <c r="BC124" s="81" t="str">
        <f t="shared" si="51"/>
        <v/>
      </c>
      <c r="BD124" s="563" t="e">
        <f>AVERAGE(BC124:BC127)</f>
        <v>#DIV/0!</v>
      </c>
      <c r="BE124" s="563" t="e">
        <f>IF(BD124&lt;=50,"Débil",IF(BD124&lt;=99,"Moderado",IF(BD124=100,"fuerte","")))</f>
        <v>#DIV/0!</v>
      </c>
      <c r="BF124" s="563" t="e">
        <f>+IF(AND(AI124="Preventivo",BE124="Fuerte"),2,IF(AND(AI124="Preventivo",BE124="Moderado"),1,0))</f>
        <v>#DIV/0!</v>
      </c>
      <c r="BG124" s="563" t="e">
        <f>+AC124-BF124</f>
        <v>#N/A</v>
      </c>
      <c r="BH124" s="556" t="e">
        <f>+VLOOKUP(MIN(BG124),Listados!$J$18:$K$24,2,TRUE)</f>
        <v>#N/A</v>
      </c>
      <c r="BI124" s="556" t="str">
        <f>AD124</f>
        <v/>
      </c>
      <c r="BJ124" s="556" t="e">
        <f>IF(AND(BH124&lt;&gt;"",BI124&lt;&gt;""),VLOOKUP(BH124&amp;BI124,Listados!$M$3:$N$27,2,FALSE),"")</f>
        <v>#N/A</v>
      </c>
      <c r="BK124" s="556" t="e">
        <f>+VLOOKUP(BJ124,Listados!$P$3:$Q$6,2,FALSE)</f>
        <v>#N/A</v>
      </c>
      <c r="BL124" s="336"/>
      <c r="BM124" s="336"/>
      <c r="BN124" s="339"/>
      <c r="BO124" s="361"/>
      <c r="BP124" s="336"/>
      <c r="BQ124" s="336"/>
      <c r="BR124" s="935"/>
      <c r="BS124" s="935"/>
      <c r="BT124" s="936"/>
      <c r="BU124" s="937"/>
      <c r="BV124" s="936"/>
      <c r="BW124" s="936"/>
    </row>
    <row r="125" spans="1:75">
      <c r="A125" s="931"/>
      <c r="B125" s="580"/>
      <c r="C125" s="582"/>
      <c r="D125" s="580"/>
      <c r="E125" s="375"/>
      <c r="F125" s="388"/>
      <c r="G125" s="348"/>
      <c r="H125" s="580"/>
      <c r="I125" s="580"/>
      <c r="J125" s="580"/>
      <c r="K125" s="580"/>
      <c r="L125" s="580"/>
      <c r="M125" s="580"/>
      <c r="N125" s="580"/>
      <c r="O125" s="580"/>
      <c r="P125" s="580"/>
      <c r="Q125" s="580"/>
      <c r="R125" s="580"/>
      <c r="S125" s="580"/>
      <c r="T125" s="580"/>
      <c r="U125" s="580"/>
      <c r="V125" s="580"/>
      <c r="W125" s="580"/>
      <c r="X125" s="580"/>
      <c r="Y125" s="580"/>
      <c r="Z125" s="580"/>
      <c r="AA125" s="582"/>
      <c r="AB125" s="573"/>
      <c r="AC125" s="565"/>
      <c r="AD125" s="565"/>
      <c r="AE125" s="565"/>
      <c r="AF125" s="565"/>
      <c r="AG125" s="376"/>
      <c r="AH125" s="386"/>
      <c r="AI125" s="348"/>
      <c r="AJ125" s="348"/>
      <c r="AK125" s="333" t="str">
        <f t="shared" si="41"/>
        <v>0</v>
      </c>
      <c r="AL125" s="348"/>
      <c r="AM125" s="333" t="str">
        <f t="shared" si="42"/>
        <v>0</v>
      </c>
      <c r="AN125" s="55"/>
      <c r="AO125" s="333" t="str">
        <f t="shared" si="43"/>
        <v>0</v>
      </c>
      <c r="AP125" s="348"/>
      <c r="AQ125" s="333" t="str">
        <f t="shared" si="44"/>
        <v>0</v>
      </c>
      <c r="AR125" s="348"/>
      <c r="AS125" s="333" t="str">
        <f t="shared" si="45"/>
        <v>0</v>
      </c>
      <c r="AT125" s="348"/>
      <c r="AU125" s="333" t="str">
        <f t="shared" si="46"/>
        <v>0</v>
      </c>
      <c r="AV125" s="55"/>
      <c r="AW125" s="333" t="str">
        <f t="shared" si="47"/>
        <v>0</v>
      </c>
      <c r="AX125" s="81" t="str">
        <f t="shared" si="52"/>
        <v/>
      </c>
      <c r="AY125" s="81" t="str">
        <f t="shared" si="53"/>
        <v/>
      </c>
      <c r="AZ125" s="82"/>
      <c r="BA125" s="81" t="str">
        <f t="shared" si="50"/>
        <v/>
      </c>
      <c r="BB125" s="81" t="str">
        <f>IFERROR(VLOOKUP((CONCATENATE(AY125,BA125)),Listados!$U$3:$V$11,2,FALSE),"")</f>
        <v/>
      </c>
      <c r="BC125" s="81" t="str">
        <f t="shared" si="51"/>
        <v/>
      </c>
      <c r="BD125" s="567"/>
      <c r="BE125" s="567"/>
      <c r="BF125" s="567"/>
      <c r="BG125" s="567"/>
      <c r="BH125" s="582"/>
      <c r="BI125" s="582"/>
      <c r="BJ125" s="582"/>
      <c r="BK125" s="582"/>
      <c r="BL125" s="336"/>
      <c r="BM125" s="336"/>
      <c r="BN125" s="336"/>
      <c r="BO125" s="336"/>
      <c r="BP125" s="336"/>
      <c r="BQ125" s="336"/>
      <c r="BR125" s="790"/>
      <c r="BS125" s="790"/>
      <c r="BT125" s="779"/>
      <c r="BU125" s="848"/>
      <c r="BV125" s="779"/>
      <c r="BW125" s="779"/>
    </row>
    <row r="126" spans="1:75">
      <c r="A126" s="931"/>
      <c r="B126" s="580"/>
      <c r="C126" s="582"/>
      <c r="D126" s="580"/>
      <c r="E126" s="375"/>
      <c r="F126" s="388"/>
      <c r="G126" s="348"/>
      <c r="H126" s="580"/>
      <c r="I126" s="580"/>
      <c r="J126" s="580"/>
      <c r="K126" s="580"/>
      <c r="L126" s="580"/>
      <c r="M126" s="580"/>
      <c r="N126" s="580"/>
      <c r="O126" s="580"/>
      <c r="P126" s="580"/>
      <c r="Q126" s="580"/>
      <c r="R126" s="580"/>
      <c r="S126" s="580"/>
      <c r="T126" s="580"/>
      <c r="U126" s="580"/>
      <c r="V126" s="580"/>
      <c r="W126" s="580"/>
      <c r="X126" s="580"/>
      <c r="Y126" s="580"/>
      <c r="Z126" s="580"/>
      <c r="AA126" s="582"/>
      <c r="AB126" s="573"/>
      <c r="AC126" s="565"/>
      <c r="AD126" s="565"/>
      <c r="AE126" s="565"/>
      <c r="AF126" s="565"/>
      <c r="AG126" s="376"/>
      <c r="AH126" s="347"/>
      <c r="AI126" s="348"/>
      <c r="AJ126" s="348"/>
      <c r="AK126" s="333" t="str">
        <f t="shared" si="41"/>
        <v>0</v>
      </c>
      <c r="AL126" s="348"/>
      <c r="AM126" s="333" t="str">
        <f t="shared" si="42"/>
        <v>0</v>
      </c>
      <c r="AN126" s="55"/>
      <c r="AO126" s="333" t="str">
        <f t="shared" si="43"/>
        <v>0</v>
      </c>
      <c r="AP126" s="348"/>
      <c r="AQ126" s="333" t="str">
        <f t="shared" si="44"/>
        <v>0</v>
      </c>
      <c r="AR126" s="348"/>
      <c r="AS126" s="333" t="str">
        <f t="shared" si="45"/>
        <v>0</v>
      </c>
      <c r="AT126" s="348"/>
      <c r="AU126" s="333" t="str">
        <f t="shared" si="46"/>
        <v>0</v>
      </c>
      <c r="AV126" s="55"/>
      <c r="AW126" s="333" t="str">
        <f t="shared" si="47"/>
        <v>0</v>
      </c>
      <c r="AX126" s="81" t="str">
        <f t="shared" si="52"/>
        <v/>
      </c>
      <c r="AY126" s="81" t="str">
        <f t="shared" si="53"/>
        <v/>
      </c>
      <c r="AZ126" s="82"/>
      <c r="BA126" s="81" t="str">
        <f t="shared" si="50"/>
        <v/>
      </c>
      <c r="BB126" s="81" t="str">
        <f>IFERROR(VLOOKUP((CONCATENATE(AY126,BA126)),Listados!$U$3:$V$11,2,FALSE),"")</f>
        <v/>
      </c>
      <c r="BC126" s="81" t="str">
        <f t="shared" si="51"/>
        <v/>
      </c>
      <c r="BD126" s="567"/>
      <c r="BE126" s="567"/>
      <c r="BF126" s="567"/>
      <c r="BG126" s="567"/>
      <c r="BH126" s="582"/>
      <c r="BI126" s="582"/>
      <c r="BJ126" s="582"/>
      <c r="BK126" s="582"/>
      <c r="BL126" s="336"/>
      <c r="BM126" s="336"/>
      <c r="BN126" s="339"/>
      <c r="BO126" s="339"/>
      <c r="BP126" s="336"/>
      <c r="BQ126" s="336"/>
      <c r="BR126" s="790"/>
      <c r="BS126" s="790"/>
      <c r="BT126" s="779"/>
      <c r="BU126" s="848"/>
      <c r="BV126" s="779"/>
      <c r="BW126" s="779"/>
    </row>
    <row r="127" spans="1:75">
      <c r="A127" s="932"/>
      <c r="B127" s="555"/>
      <c r="C127" s="557"/>
      <c r="D127" s="555"/>
      <c r="E127" s="375"/>
      <c r="F127" s="388"/>
      <c r="G127" s="348"/>
      <c r="H127" s="555"/>
      <c r="I127" s="555"/>
      <c r="J127" s="555"/>
      <c r="K127" s="555"/>
      <c r="L127" s="555"/>
      <c r="M127" s="555"/>
      <c r="N127" s="555"/>
      <c r="O127" s="555"/>
      <c r="P127" s="555"/>
      <c r="Q127" s="555"/>
      <c r="R127" s="555"/>
      <c r="S127" s="555"/>
      <c r="T127" s="555"/>
      <c r="U127" s="555"/>
      <c r="V127" s="555"/>
      <c r="W127" s="555"/>
      <c r="X127" s="555"/>
      <c r="Y127" s="555"/>
      <c r="Z127" s="555"/>
      <c r="AA127" s="557"/>
      <c r="AB127" s="573"/>
      <c r="AC127" s="565"/>
      <c r="AD127" s="565"/>
      <c r="AE127" s="565"/>
      <c r="AF127" s="565"/>
      <c r="AG127" s="376"/>
      <c r="AH127" s="347"/>
      <c r="AI127" s="348"/>
      <c r="AJ127" s="348"/>
      <c r="AK127" s="333" t="str">
        <f t="shared" si="41"/>
        <v>0</v>
      </c>
      <c r="AL127" s="348"/>
      <c r="AM127" s="333" t="str">
        <f t="shared" si="42"/>
        <v>0</v>
      </c>
      <c r="AN127" s="55"/>
      <c r="AO127" s="333" t="str">
        <f t="shared" si="43"/>
        <v>0</v>
      </c>
      <c r="AP127" s="348"/>
      <c r="AQ127" s="333" t="str">
        <f t="shared" si="44"/>
        <v>0</v>
      </c>
      <c r="AR127" s="348"/>
      <c r="AS127" s="333" t="str">
        <f t="shared" si="45"/>
        <v>0</v>
      </c>
      <c r="AT127" s="348"/>
      <c r="AU127" s="333" t="str">
        <f t="shared" si="46"/>
        <v>0</v>
      </c>
      <c r="AV127" s="55"/>
      <c r="AW127" s="333" t="str">
        <f t="shared" si="47"/>
        <v>0</v>
      </c>
      <c r="AX127" s="81" t="str">
        <f t="shared" si="52"/>
        <v/>
      </c>
      <c r="AY127" s="81" t="str">
        <f t="shared" si="53"/>
        <v/>
      </c>
      <c r="AZ127" s="82"/>
      <c r="BA127" s="81" t="str">
        <f t="shared" si="50"/>
        <v/>
      </c>
      <c r="BB127" s="81" t="str">
        <f>IFERROR(VLOOKUP((CONCATENATE(AY127,BA127)),Listados!$U$3:$V$11,2,FALSE),"")</f>
        <v/>
      </c>
      <c r="BC127" s="81" t="str">
        <f t="shared" si="51"/>
        <v/>
      </c>
      <c r="BD127" s="564"/>
      <c r="BE127" s="564"/>
      <c r="BF127" s="564"/>
      <c r="BG127" s="564"/>
      <c r="BH127" s="557"/>
      <c r="BI127" s="557"/>
      <c r="BJ127" s="557"/>
      <c r="BK127" s="557"/>
      <c r="BL127" s="336"/>
      <c r="BM127" s="336"/>
      <c r="BN127" s="339"/>
      <c r="BO127" s="339"/>
      <c r="BP127" s="336"/>
      <c r="BQ127" s="336"/>
      <c r="BR127" s="825"/>
      <c r="BS127" s="825"/>
      <c r="BT127" s="780"/>
      <c r="BU127" s="849"/>
      <c r="BV127" s="780"/>
      <c r="BW127" s="780"/>
    </row>
    <row r="128" spans="1:75">
      <c r="AF128" s="83"/>
    </row>
    <row r="129" spans="32:32">
      <c r="AF129" s="83"/>
    </row>
    <row r="130" spans="32:32">
      <c r="AF130" s="83"/>
    </row>
    <row r="131" spans="32:32">
      <c r="AF131" s="83"/>
    </row>
    <row r="132" spans="32:32">
      <c r="AF132" s="83"/>
    </row>
    <row r="133" spans="32:32">
      <c r="AF133" s="83"/>
    </row>
    <row r="134" spans="32:32">
      <c r="AF134" s="83"/>
    </row>
    <row r="135" spans="32:32">
      <c r="AF135" s="83"/>
    </row>
    <row r="136" spans="32:32">
      <c r="AF136" s="83"/>
    </row>
    <row r="137" spans="32:32">
      <c r="AF137" s="83"/>
    </row>
    <row r="138" spans="32:32">
      <c r="AF138" s="83"/>
    </row>
    <row r="139" spans="32:32">
      <c r="AF139" s="83"/>
    </row>
    <row r="140" spans="32:32">
      <c r="AF140" s="556"/>
    </row>
    <row r="141" spans="32:32">
      <c r="AF141" s="582"/>
    </row>
    <row r="142" spans="32:32">
      <c r="AF142" s="582"/>
    </row>
    <row r="143" spans="32:32">
      <c r="AF143" s="557"/>
    </row>
    <row r="144" spans="32:32">
      <c r="AF144" s="556"/>
    </row>
    <row r="145" spans="32:32">
      <c r="AF145" s="582"/>
    </row>
    <row r="146" spans="32:32">
      <c r="AF146" s="582"/>
    </row>
    <row r="147" spans="32:32">
      <c r="AF147" s="557"/>
    </row>
    <row r="148" spans="32:32">
      <c r="AF148" s="556"/>
    </row>
    <row r="149" spans="32:32">
      <c r="AF149" s="582"/>
    </row>
    <row r="150" spans="32:32">
      <c r="AF150" s="582"/>
    </row>
    <row r="151" spans="32:32">
      <c r="AF151" s="557"/>
    </row>
    <row r="152" spans="32:32">
      <c r="AF152" s="556"/>
    </row>
    <row r="153" spans="32:32">
      <c r="AF153" s="582"/>
    </row>
    <row r="154" spans="32:32">
      <c r="AF154" s="582"/>
    </row>
    <row r="155" spans="32:32">
      <c r="AF155" s="557"/>
    </row>
    <row r="156" spans="32:32">
      <c r="AF156" s="556"/>
    </row>
    <row r="157" spans="32:32">
      <c r="AF157" s="582"/>
    </row>
    <row r="158" spans="32:32">
      <c r="AF158" s="582"/>
    </row>
    <row r="159" spans="32:32">
      <c r="AF159" s="557"/>
    </row>
    <row r="160" spans="32:32">
      <c r="AF160" s="556"/>
    </row>
    <row r="161" spans="32:32">
      <c r="AF161" s="582"/>
    </row>
    <row r="162" spans="32:32">
      <c r="AF162" s="582"/>
    </row>
    <row r="163" spans="32:32">
      <c r="AF163" s="557"/>
    </row>
    <row r="164" spans="32:32">
      <c r="AF164" s="556"/>
    </row>
    <row r="165" spans="32:32">
      <c r="AF165" s="582"/>
    </row>
    <row r="166" spans="32:32">
      <c r="AF166" s="582"/>
    </row>
    <row r="167" spans="32:32">
      <c r="AF167" s="557"/>
    </row>
    <row r="168" spans="32:32">
      <c r="AF168" s="556"/>
    </row>
    <row r="169" spans="32:32">
      <c r="AF169" s="582"/>
    </row>
    <row r="170" spans="32:32">
      <c r="AF170" s="582"/>
    </row>
    <row r="171" spans="32:32">
      <c r="AF171" s="557"/>
    </row>
    <row r="172" spans="32:32">
      <c r="AF172" s="556"/>
    </row>
    <row r="173" spans="32:32">
      <c r="AF173" s="582"/>
    </row>
    <row r="174" spans="32:32">
      <c r="AF174" s="582"/>
    </row>
    <row r="175" spans="32:32">
      <c r="AF175" s="557"/>
    </row>
    <row r="176" spans="32:32">
      <c r="AF176" s="556"/>
    </row>
    <row r="177" spans="32:32">
      <c r="AF177" s="582"/>
    </row>
    <row r="178" spans="32:32">
      <c r="AF178" s="582"/>
    </row>
    <row r="179" spans="32:32">
      <c r="AF179" s="557"/>
    </row>
    <row r="180" spans="32:32">
      <c r="AF180" s="556"/>
    </row>
    <row r="181" spans="32:32">
      <c r="AF181" s="582"/>
    </row>
    <row r="182" spans="32:32">
      <c r="AF182" s="582"/>
    </row>
    <row r="183" spans="32:32">
      <c r="AF183" s="557"/>
    </row>
    <row r="184" spans="32:32">
      <c r="AF184" s="556"/>
    </row>
    <row r="185" spans="32:32">
      <c r="AF185" s="582"/>
    </row>
    <row r="186" spans="32:32">
      <c r="AF186" s="582"/>
    </row>
    <row r="187" spans="32:32">
      <c r="AF187" s="557"/>
    </row>
    <row r="188" spans="32:32">
      <c r="AF188" s="556"/>
    </row>
    <row r="189" spans="32:32">
      <c r="AF189" s="582"/>
    </row>
    <row r="190" spans="32:32">
      <c r="AF190" s="582"/>
    </row>
    <row r="191" spans="32:32">
      <c r="AF191" s="557"/>
    </row>
    <row r="192" spans="32:32">
      <c r="AF192" s="556"/>
    </row>
    <row r="193" spans="32:32">
      <c r="AF193" s="582"/>
    </row>
    <row r="194" spans="32:32">
      <c r="AF194" s="582"/>
    </row>
    <row r="195" spans="32:32">
      <c r="AF195" s="557"/>
    </row>
    <row r="196" spans="32:32">
      <c r="AF196" s="556"/>
    </row>
    <row r="197" spans="32:32">
      <c r="AF197" s="582"/>
    </row>
    <row r="198" spans="32:32">
      <c r="AF198" s="582"/>
    </row>
    <row r="199" spans="32:32">
      <c r="AF199" s="557"/>
    </row>
    <row r="200" spans="32:32">
      <c r="AF200" s="556"/>
    </row>
    <row r="201" spans="32:32">
      <c r="AF201" s="582"/>
    </row>
    <row r="202" spans="32:32">
      <c r="AF202" s="582"/>
    </row>
    <row r="203" spans="32:32">
      <c r="AF203" s="557"/>
    </row>
    <row r="204" spans="32:32">
      <c r="AF204" s="556"/>
    </row>
    <row r="205" spans="32:32">
      <c r="AF205" s="582"/>
    </row>
    <row r="206" spans="32:32">
      <c r="AF206" s="582"/>
    </row>
    <row r="207" spans="32:32">
      <c r="AF207" s="557"/>
    </row>
    <row r="208" spans="32:32">
      <c r="AF208" s="556"/>
    </row>
    <row r="209" spans="32:32">
      <c r="AF209" s="582"/>
    </row>
    <row r="210" spans="32:32">
      <c r="AF210" s="582"/>
    </row>
    <row r="211" spans="32:32">
      <c r="AF211" s="557"/>
    </row>
    <row r="212" spans="32:32">
      <c r="AF212" s="556"/>
    </row>
    <row r="213" spans="32:32">
      <c r="AF213" s="582"/>
    </row>
    <row r="214" spans="32:32">
      <c r="AF214" s="582"/>
    </row>
    <row r="215" spans="32:32">
      <c r="AF215" s="557"/>
    </row>
    <row r="216" spans="32:32">
      <c r="AF216" s="556"/>
    </row>
    <row r="217" spans="32:32">
      <c r="AF217" s="582"/>
    </row>
    <row r="218" spans="32:32">
      <c r="AF218" s="582"/>
    </row>
    <row r="219" spans="32:32">
      <c r="AF219" s="557"/>
    </row>
    <row r="220" spans="32:32">
      <c r="AF220" s="556"/>
    </row>
    <row r="221" spans="32:32">
      <c r="AF221" s="582"/>
    </row>
    <row r="222" spans="32:32">
      <c r="AF222" s="582"/>
    </row>
    <row r="223" spans="32:32">
      <c r="AF223" s="557"/>
    </row>
    <row r="224" spans="32:32">
      <c r="AF224" s="556"/>
    </row>
    <row r="225" spans="32:32">
      <c r="AF225" s="582"/>
    </row>
    <row r="226" spans="32:32">
      <c r="AF226" s="582"/>
    </row>
    <row r="227" spans="32:32">
      <c r="AF227" s="557"/>
    </row>
    <row r="228" spans="32:32">
      <c r="AF228" s="556"/>
    </row>
    <row r="229" spans="32:32">
      <c r="AF229" s="582"/>
    </row>
    <row r="230" spans="32:32">
      <c r="AF230" s="582"/>
    </row>
    <row r="231" spans="32:32">
      <c r="AF231" s="557"/>
    </row>
    <row r="232" spans="32:32">
      <c r="AF232" s="556"/>
    </row>
    <row r="233" spans="32:32">
      <c r="AF233" s="582"/>
    </row>
    <row r="234" spans="32:32">
      <c r="AF234" s="582"/>
    </row>
    <row r="235" spans="32:32">
      <c r="AF235" s="557"/>
    </row>
    <row r="236" spans="32:32">
      <c r="AF236" s="556"/>
    </row>
    <row r="237" spans="32:32">
      <c r="AF237" s="582"/>
    </row>
    <row r="238" spans="32:32">
      <c r="AF238" s="582"/>
    </row>
    <row r="239" spans="32:32">
      <c r="AF239" s="557"/>
    </row>
    <row r="240" spans="32:32">
      <c r="AF240" s="556"/>
    </row>
    <row r="241" spans="32:32">
      <c r="AF241" s="582"/>
    </row>
    <row r="242" spans="32:32">
      <c r="AF242" s="582"/>
    </row>
    <row r="243" spans="32:32">
      <c r="AF243" s="557"/>
    </row>
    <row r="244" spans="32:32">
      <c r="AF244" s="556"/>
    </row>
    <row r="245" spans="32:32">
      <c r="AF245" s="582"/>
    </row>
    <row r="246" spans="32:32">
      <c r="AF246" s="582"/>
    </row>
    <row r="247" spans="32:32">
      <c r="AF247" s="557"/>
    </row>
    <row r="248" spans="32:32">
      <c r="AF248" s="556"/>
    </row>
    <row r="249" spans="32:32">
      <c r="AF249" s="582"/>
    </row>
    <row r="250" spans="32:32">
      <c r="AF250" s="582"/>
    </row>
    <row r="251" spans="32:32">
      <c r="AF251" s="557"/>
    </row>
    <row r="252" spans="32:32">
      <c r="AF252" s="556"/>
    </row>
    <row r="253" spans="32:32">
      <c r="AF253" s="582"/>
    </row>
    <row r="254" spans="32:32">
      <c r="AF254" s="582"/>
    </row>
    <row r="255" spans="32:32">
      <c r="AF255" s="557"/>
    </row>
  </sheetData>
  <sheetProtection selectLockedCells="1"/>
  <mergeCells count="1345">
    <mergeCell ref="BR116:BR119"/>
    <mergeCell ref="BS116:BS119"/>
    <mergeCell ref="BT116:BT119"/>
    <mergeCell ref="BU116:BU119"/>
    <mergeCell ref="BV116:BV119"/>
    <mergeCell ref="BW116:BW119"/>
    <mergeCell ref="BR120:BR123"/>
    <mergeCell ref="BS120:BS123"/>
    <mergeCell ref="BT120:BT123"/>
    <mergeCell ref="BU120:BU123"/>
    <mergeCell ref="BV120:BV123"/>
    <mergeCell ref="BW120:BW123"/>
    <mergeCell ref="BR124:BR127"/>
    <mergeCell ref="BS124:BS127"/>
    <mergeCell ref="BT124:BT127"/>
    <mergeCell ref="BU124:BU127"/>
    <mergeCell ref="BV124:BV127"/>
    <mergeCell ref="BW124:BW127"/>
    <mergeCell ref="BR104:BR107"/>
    <mergeCell ref="BS104:BS107"/>
    <mergeCell ref="BT104:BT107"/>
    <mergeCell ref="BU104:BU107"/>
    <mergeCell ref="BV104:BV107"/>
    <mergeCell ref="BW104:BW107"/>
    <mergeCell ref="BR108:BR111"/>
    <mergeCell ref="BS108:BS111"/>
    <mergeCell ref="BT108:BT111"/>
    <mergeCell ref="BU108:BU111"/>
    <mergeCell ref="BV108:BV111"/>
    <mergeCell ref="BW108:BW111"/>
    <mergeCell ref="BR112:BR115"/>
    <mergeCell ref="BS112:BS115"/>
    <mergeCell ref="BT112:BT115"/>
    <mergeCell ref="BU112:BU115"/>
    <mergeCell ref="BV112:BV115"/>
    <mergeCell ref="BW112:BW115"/>
    <mergeCell ref="BR92:BR95"/>
    <mergeCell ref="BS92:BS95"/>
    <mergeCell ref="BT92:BT95"/>
    <mergeCell ref="BU92:BU95"/>
    <mergeCell ref="BV92:BV95"/>
    <mergeCell ref="BW92:BW95"/>
    <mergeCell ref="BR96:BR99"/>
    <mergeCell ref="BS96:BS99"/>
    <mergeCell ref="BT96:BT99"/>
    <mergeCell ref="BU96:BU99"/>
    <mergeCell ref="BV96:BV99"/>
    <mergeCell ref="BW96:BW99"/>
    <mergeCell ref="BR100:BR103"/>
    <mergeCell ref="BS100:BS103"/>
    <mergeCell ref="BT100:BT103"/>
    <mergeCell ref="BU100:BU103"/>
    <mergeCell ref="BV100:BV103"/>
    <mergeCell ref="BW100:BW103"/>
    <mergeCell ref="BR80:BR83"/>
    <mergeCell ref="BS80:BS83"/>
    <mergeCell ref="BT80:BT83"/>
    <mergeCell ref="BU80:BU83"/>
    <mergeCell ref="BV80:BV83"/>
    <mergeCell ref="BW80:BW83"/>
    <mergeCell ref="BR84:BR87"/>
    <mergeCell ref="BS84:BS87"/>
    <mergeCell ref="BT84:BT87"/>
    <mergeCell ref="BU84:BU87"/>
    <mergeCell ref="BV84:BV87"/>
    <mergeCell ref="BW84:BW87"/>
    <mergeCell ref="BR88:BR91"/>
    <mergeCell ref="BS88:BS91"/>
    <mergeCell ref="BT88:BT91"/>
    <mergeCell ref="BU88:BU91"/>
    <mergeCell ref="BV88:BV91"/>
    <mergeCell ref="BW88:BW91"/>
    <mergeCell ref="BR68:BR71"/>
    <mergeCell ref="BS68:BS71"/>
    <mergeCell ref="BT68:BT71"/>
    <mergeCell ref="BU68:BU71"/>
    <mergeCell ref="BV68:BV71"/>
    <mergeCell ref="BW68:BW71"/>
    <mergeCell ref="BR72:BR75"/>
    <mergeCell ref="BS72:BS75"/>
    <mergeCell ref="BT72:BT75"/>
    <mergeCell ref="BU72:BU75"/>
    <mergeCell ref="BV72:BV75"/>
    <mergeCell ref="BW72:BW75"/>
    <mergeCell ref="BR76:BR79"/>
    <mergeCell ref="BS76:BS79"/>
    <mergeCell ref="BT76:BT79"/>
    <mergeCell ref="BU76:BU79"/>
    <mergeCell ref="BV76:BV79"/>
    <mergeCell ref="BW76:BW79"/>
    <mergeCell ref="BR56:BR59"/>
    <mergeCell ref="BS56:BS59"/>
    <mergeCell ref="BT56:BT59"/>
    <mergeCell ref="BU56:BU59"/>
    <mergeCell ref="BV56:BV59"/>
    <mergeCell ref="BW56:BW59"/>
    <mergeCell ref="BR60:BR63"/>
    <mergeCell ref="BS60:BS63"/>
    <mergeCell ref="BT60:BT63"/>
    <mergeCell ref="BU60:BU63"/>
    <mergeCell ref="BV60:BV63"/>
    <mergeCell ref="BW60:BW63"/>
    <mergeCell ref="BR64:BR67"/>
    <mergeCell ref="BS64:BS67"/>
    <mergeCell ref="BT64:BT67"/>
    <mergeCell ref="BU64:BU67"/>
    <mergeCell ref="BV64:BV67"/>
    <mergeCell ref="BW64:BW67"/>
    <mergeCell ref="BS40:BS43"/>
    <mergeCell ref="BT40:BT43"/>
    <mergeCell ref="BU40:BU43"/>
    <mergeCell ref="BV40:BV43"/>
    <mergeCell ref="BW40:BW43"/>
    <mergeCell ref="BS44:BS47"/>
    <mergeCell ref="BT44:BT47"/>
    <mergeCell ref="BU44:BU47"/>
    <mergeCell ref="BV44:BV47"/>
    <mergeCell ref="BW44:BW47"/>
    <mergeCell ref="BS48:BS51"/>
    <mergeCell ref="BT48:BT51"/>
    <mergeCell ref="BU48:BU51"/>
    <mergeCell ref="BV48:BV51"/>
    <mergeCell ref="BW48:BW51"/>
    <mergeCell ref="BR52:BR55"/>
    <mergeCell ref="BS52:BS55"/>
    <mergeCell ref="BT52:BT55"/>
    <mergeCell ref="BU52:BU55"/>
    <mergeCell ref="BV52:BV55"/>
    <mergeCell ref="BW52:BW55"/>
    <mergeCell ref="BR24:BR27"/>
    <mergeCell ref="BS24:BS27"/>
    <mergeCell ref="BT24:BT27"/>
    <mergeCell ref="BU24:BU27"/>
    <mergeCell ref="BV24:BV27"/>
    <mergeCell ref="BW24:BW27"/>
    <mergeCell ref="BS28:BS31"/>
    <mergeCell ref="BT28:BT31"/>
    <mergeCell ref="BU28:BU31"/>
    <mergeCell ref="BV28:BV31"/>
    <mergeCell ref="BW28:BW31"/>
    <mergeCell ref="BS32:BS35"/>
    <mergeCell ref="BT32:BT35"/>
    <mergeCell ref="BU32:BU35"/>
    <mergeCell ref="BV32:BV35"/>
    <mergeCell ref="BW32:BW35"/>
    <mergeCell ref="BR36:BR39"/>
    <mergeCell ref="BS36:BS39"/>
    <mergeCell ref="BT36:BT39"/>
    <mergeCell ref="BU36:BU39"/>
    <mergeCell ref="BV36:BV39"/>
    <mergeCell ref="BW36:BW39"/>
    <mergeCell ref="BS7:BS10"/>
    <mergeCell ref="BT7:BT10"/>
    <mergeCell ref="BU7:BU10"/>
    <mergeCell ref="BV7:BV10"/>
    <mergeCell ref="BW7:BW10"/>
    <mergeCell ref="BS11:BS15"/>
    <mergeCell ref="BT11:BT15"/>
    <mergeCell ref="BU11:BU15"/>
    <mergeCell ref="BV11:BV15"/>
    <mergeCell ref="BW11:BW15"/>
    <mergeCell ref="BS16:BS19"/>
    <mergeCell ref="BT16:BT19"/>
    <mergeCell ref="BU16:BU19"/>
    <mergeCell ref="BV16:BV19"/>
    <mergeCell ref="BW16:BW19"/>
    <mergeCell ref="BS20:BS23"/>
    <mergeCell ref="BT20:BT23"/>
    <mergeCell ref="BU20:BU23"/>
    <mergeCell ref="BV20:BV23"/>
    <mergeCell ref="BW20:BW23"/>
    <mergeCell ref="BI124:BI127"/>
    <mergeCell ref="BJ124:BJ127"/>
    <mergeCell ref="BK124:BK127"/>
    <mergeCell ref="BD124:BD127"/>
    <mergeCell ref="BE124:BE127"/>
    <mergeCell ref="BF124:BF127"/>
    <mergeCell ref="BG124:BG127"/>
    <mergeCell ref="BH124:BH127"/>
    <mergeCell ref="AB124:AB127"/>
    <mergeCell ref="AC124:AC127"/>
    <mergeCell ref="AD124:AD127"/>
    <mergeCell ref="AE124:AE127"/>
    <mergeCell ref="AF252:AF255"/>
    <mergeCell ref="W124:W127"/>
    <mergeCell ref="X124:X127"/>
    <mergeCell ref="Y124:Y127"/>
    <mergeCell ref="Z124:Z127"/>
    <mergeCell ref="AA124:AA127"/>
    <mergeCell ref="AF124:AF127"/>
    <mergeCell ref="AF248:AF251"/>
    <mergeCell ref="AF236:AF239"/>
    <mergeCell ref="AF220:AF223"/>
    <mergeCell ref="AF216:AF219"/>
    <mergeCell ref="AF204:AF207"/>
    <mergeCell ref="AF200:AF203"/>
    <mergeCell ref="AF164:AF167"/>
    <mergeCell ref="AF244:AF247"/>
    <mergeCell ref="A120:A123"/>
    <mergeCell ref="B120:B123"/>
    <mergeCell ref="C120:C123"/>
    <mergeCell ref="D120:D123"/>
    <mergeCell ref="H120:H123"/>
    <mergeCell ref="R124:R127"/>
    <mergeCell ref="S124:S127"/>
    <mergeCell ref="A124:A127"/>
    <mergeCell ref="B124:B127"/>
    <mergeCell ref="C124:C127"/>
    <mergeCell ref="D124:D127"/>
    <mergeCell ref="H124:H127"/>
    <mergeCell ref="I124:I127"/>
    <mergeCell ref="J124:J127"/>
    <mergeCell ref="K124:K127"/>
    <mergeCell ref="L124:L127"/>
    <mergeCell ref="M124:M127"/>
    <mergeCell ref="N124:N127"/>
    <mergeCell ref="O124:O127"/>
    <mergeCell ref="P124:P127"/>
    <mergeCell ref="Q124:Q127"/>
    <mergeCell ref="S120:S123"/>
    <mergeCell ref="BJ120:BJ123"/>
    <mergeCell ref="BK120:BK123"/>
    <mergeCell ref="BE120:BE123"/>
    <mergeCell ref="BF120:BF123"/>
    <mergeCell ref="BG120:BG123"/>
    <mergeCell ref="BH120:BH123"/>
    <mergeCell ref="BI120:BI123"/>
    <mergeCell ref="AC120:AC123"/>
    <mergeCell ref="N120:N123"/>
    <mergeCell ref="O120:O123"/>
    <mergeCell ref="P120:P123"/>
    <mergeCell ref="Q120:Q123"/>
    <mergeCell ref="R120:R123"/>
    <mergeCell ref="I120:I123"/>
    <mergeCell ref="J120:J123"/>
    <mergeCell ref="K120:K123"/>
    <mergeCell ref="L120:L123"/>
    <mergeCell ref="M120:M123"/>
    <mergeCell ref="T120:T123"/>
    <mergeCell ref="BE116:BE119"/>
    <mergeCell ref="BF116:BF119"/>
    <mergeCell ref="Z116:Z119"/>
    <mergeCell ref="AA116:AA119"/>
    <mergeCell ref="AB116:AB119"/>
    <mergeCell ref="AC116:AC119"/>
    <mergeCell ref="AD116:AD119"/>
    <mergeCell ref="U116:U119"/>
    <mergeCell ref="V116:V119"/>
    <mergeCell ref="W116:W119"/>
    <mergeCell ref="X116:X119"/>
    <mergeCell ref="Y116:Y119"/>
    <mergeCell ref="AF240:AF243"/>
    <mergeCell ref="AB120:AB123"/>
    <mergeCell ref="U120:U123"/>
    <mergeCell ref="V120:V123"/>
    <mergeCell ref="W120:W123"/>
    <mergeCell ref="U124:U127"/>
    <mergeCell ref="V124:V127"/>
    <mergeCell ref="AF156:AF159"/>
    <mergeCell ref="AF152:AF155"/>
    <mergeCell ref="AF148:AF151"/>
    <mergeCell ref="AF140:AF143"/>
    <mergeCell ref="AF160:AF163"/>
    <mergeCell ref="BH112:BH115"/>
    <mergeCell ref="BI112:BI115"/>
    <mergeCell ref="BJ112:BJ115"/>
    <mergeCell ref="BK112:BK115"/>
    <mergeCell ref="A116:A119"/>
    <mergeCell ref="B116:B119"/>
    <mergeCell ref="C116:C119"/>
    <mergeCell ref="D116:D119"/>
    <mergeCell ref="H116:H119"/>
    <mergeCell ref="I116:I119"/>
    <mergeCell ref="J116:J119"/>
    <mergeCell ref="K116:K119"/>
    <mergeCell ref="L116:L119"/>
    <mergeCell ref="M116:M119"/>
    <mergeCell ref="N116:N119"/>
    <mergeCell ref="O116:O119"/>
    <mergeCell ref="BD112:BD115"/>
    <mergeCell ref="BE112:BE115"/>
    <mergeCell ref="BF112:BF115"/>
    <mergeCell ref="BG112:BG115"/>
    <mergeCell ref="AA112:AA115"/>
    <mergeCell ref="AB112:AB115"/>
    <mergeCell ref="AC112:AC115"/>
    <mergeCell ref="AD112:AD115"/>
    <mergeCell ref="AE112:AE115"/>
    <mergeCell ref="BJ116:BJ119"/>
    <mergeCell ref="BK116:BK119"/>
    <mergeCell ref="AE116:AE119"/>
    <mergeCell ref="A112:A115"/>
    <mergeCell ref="B112:B115"/>
    <mergeCell ref="C112:C115"/>
    <mergeCell ref="D112:D115"/>
    <mergeCell ref="H112:H115"/>
    <mergeCell ref="I112:I115"/>
    <mergeCell ref="J112:J115"/>
    <mergeCell ref="K112:K115"/>
    <mergeCell ref="L112:L115"/>
    <mergeCell ref="M112:M115"/>
    <mergeCell ref="N112:N115"/>
    <mergeCell ref="O112:O115"/>
    <mergeCell ref="P112:P115"/>
    <mergeCell ref="BD108:BD111"/>
    <mergeCell ref="BE108:BE111"/>
    <mergeCell ref="BF108:BF111"/>
    <mergeCell ref="BG108:BG111"/>
    <mergeCell ref="AB108:AB111"/>
    <mergeCell ref="L108:L111"/>
    <mergeCell ref="M108:M111"/>
    <mergeCell ref="N108:N111"/>
    <mergeCell ref="O108:O111"/>
    <mergeCell ref="P108:P111"/>
    <mergeCell ref="Q108:Q111"/>
    <mergeCell ref="S108:S111"/>
    <mergeCell ref="T108:T111"/>
    <mergeCell ref="U108:U111"/>
    <mergeCell ref="V108:V111"/>
    <mergeCell ref="BE104:BE107"/>
    <mergeCell ref="BF104:BF107"/>
    <mergeCell ref="V112:V115"/>
    <mergeCell ref="W112:W115"/>
    <mergeCell ref="X112:X115"/>
    <mergeCell ref="Y112:Y115"/>
    <mergeCell ref="Z112:Z115"/>
    <mergeCell ref="Q112:Q115"/>
    <mergeCell ref="R112:R115"/>
    <mergeCell ref="S112:S115"/>
    <mergeCell ref="T112:T115"/>
    <mergeCell ref="U112:U115"/>
    <mergeCell ref="AF232:AF235"/>
    <mergeCell ref="BD104:BD107"/>
    <mergeCell ref="X104:X107"/>
    <mergeCell ref="Y104:Y107"/>
    <mergeCell ref="Z104:Z107"/>
    <mergeCell ref="AA104:AA107"/>
    <mergeCell ref="AB104:AB107"/>
    <mergeCell ref="S104:S107"/>
    <mergeCell ref="T104:T107"/>
    <mergeCell ref="U104:U107"/>
    <mergeCell ref="V104:V107"/>
    <mergeCell ref="W104:W107"/>
    <mergeCell ref="AC108:AC111"/>
    <mergeCell ref="AD108:AD111"/>
    <mergeCell ref="AE108:AE111"/>
    <mergeCell ref="W108:W111"/>
    <mergeCell ref="X108:X111"/>
    <mergeCell ref="Y108:Y111"/>
    <mergeCell ref="Z108:Z111"/>
    <mergeCell ref="AA108:AA111"/>
    <mergeCell ref="T124:T127"/>
    <mergeCell ref="AD120:AD123"/>
    <mergeCell ref="AE120:AE123"/>
    <mergeCell ref="BD120:BD123"/>
    <mergeCell ref="X120:X123"/>
    <mergeCell ref="N104:N107"/>
    <mergeCell ref="O104:O107"/>
    <mergeCell ref="P104:P107"/>
    <mergeCell ref="Q104:Q107"/>
    <mergeCell ref="R104:R107"/>
    <mergeCell ref="AF104:AF107"/>
    <mergeCell ref="AF108:AF111"/>
    <mergeCell ref="AF112:AF115"/>
    <mergeCell ref="AF116:AF119"/>
    <mergeCell ref="AF120:AF123"/>
    <mergeCell ref="I104:I107"/>
    <mergeCell ref="J104:J107"/>
    <mergeCell ref="K104:K107"/>
    <mergeCell ref="L104:L107"/>
    <mergeCell ref="M104:M107"/>
    <mergeCell ref="AA120:AA123"/>
    <mergeCell ref="P116:P119"/>
    <mergeCell ref="Q116:Q119"/>
    <mergeCell ref="R116:R119"/>
    <mergeCell ref="S116:S119"/>
    <mergeCell ref="T116:T119"/>
    <mergeCell ref="Y120:Y123"/>
    <mergeCell ref="Z120:Z123"/>
    <mergeCell ref="BD116:BD119"/>
    <mergeCell ref="A104:A107"/>
    <mergeCell ref="B104:B107"/>
    <mergeCell ref="C104:C107"/>
    <mergeCell ref="D104:D107"/>
    <mergeCell ref="H104:H107"/>
    <mergeCell ref="AC104:AC107"/>
    <mergeCell ref="AD104:AD107"/>
    <mergeCell ref="AE104:AE107"/>
    <mergeCell ref="R108:R111"/>
    <mergeCell ref="A108:A111"/>
    <mergeCell ref="B108:B111"/>
    <mergeCell ref="C108:C111"/>
    <mergeCell ref="D108:D111"/>
    <mergeCell ref="H108:H111"/>
    <mergeCell ref="I108:I111"/>
    <mergeCell ref="J108:J111"/>
    <mergeCell ref="K108:K111"/>
    <mergeCell ref="BH100:BH103"/>
    <mergeCell ref="BI100:BI103"/>
    <mergeCell ref="BJ100:BJ103"/>
    <mergeCell ref="BK100:BK103"/>
    <mergeCell ref="AE100:AE103"/>
    <mergeCell ref="AF228:AF231"/>
    <mergeCell ref="BD100:BD103"/>
    <mergeCell ref="BE100:BE103"/>
    <mergeCell ref="BF100:BF103"/>
    <mergeCell ref="Z100:Z103"/>
    <mergeCell ref="AA100:AA103"/>
    <mergeCell ref="AB100:AB103"/>
    <mergeCell ref="AC100:AC103"/>
    <mergeCell ref="AD100:AD103"/>
    <mergeCell ref="U100:U103"/>
    <mergeCell ref="V100:V103"/>
    <mergeCell ref="W100:W103"/>
    <mergeCell ref="X100:X103"/>
    <mergeCell ref="Y100:Y103"/>
    <mergeCell ref="AF224:AF227"/>
    <mergeCell ref="BG104:BG107"/>
    <mergeCell ref="BH104:BH107"/>
    <mergeCell ref="BI104:BI107"/>
    <mergeCell ref="BJ104:BJ107"/>
    <mergeCell ref="BK104:BK107"/>
    <mergeCell ref="BI108:BI111"/>
    <mergeCell ref="BJ108:BJ111"/>
    <mergeCell ref="BK108:BK111"/>
    <mergeCell ref="BH108:BH111"/>
    <mergeCell ref="BG116:BG119"/>
    <mergeCell ref="BH116:BH119"/>
    <mergeCell ref="BI116:BI119"/>
    <mergeCell ref="BH96:BH99"/>
    <mergeCell ref="BI96:BI99"/>
    <mergeCell ref="BJ96:BJ99"/>
    <mergeCell ref="BK96:BK99"/>
    <mergeCell ref="W92:W95"/>
    <mergeCell ref="X92:X95"/>
    <mergeCell ref="Y92:Y95"/>
    <mergeCell ref="Z92:Z95"/>
    <mergeCell ref="A100:A103"/>
    <mergeCell ref="B100:B103"/>
    <mergeCell ref="C100:C103"/>
    <mergeCell ref="D100:D103"/>
    <mergeCell ref="H100:H103"/>
    <mergeCell ref="I100:I103"/>
    <mergeCell ref="J100:J103"/>
    <mergeCell ref="K100:K103"/>
    <mergeCell ref="L100:L103"/>
    <mergeCell ref="M100:M103"/>
    <mergeCell ref="N100:N103"/>
    <mergeCell ref="O100:O103"/>
    <mergeCell ref="BD96:BD99"/>
    <mergeCell ref="BE96:BE99"/>
    <mergeCell ref="BF96:BF99"/>
    <mergeCell ref="BG96:BG99"/>
    <mergeCell ref="AA96:AA99"/>
    <mergeCell ref="AB96:AB99"/>
    <mergeCell ref="AC96:AC99"/>
    <mergeCell ref="AD96:AD99"/>
    <mergeCell ref="AE96:AE99"/>
    <mergeCell ref="V96:V99"/>
    <mergeCell ref="W96:W99"/>
    <mergeCell ref="BG100:BG103"/>
    <mergeCell ref="A96:A99"/>
    <mergeCell ref="B96:B99"/>
    <mergeCell ref="C96:C99"/>
    <mergeCell ref="D96:D99"/>
    <mergeCell ref="H96:H99"/>
    <mergeCell ref="I96:I99"/>
    <mergeCell ref="J96:J99"/>
    <mergeCell ref="K96:K99"/>
    <mergeCell ref="L96:L99"/>
    <mergeCell ref="M96:M99"/>
    <mergeCell ref="N96:N99"/>
    <mergeCell ref="O96:O99"/>
    <mergeCell ref="P96:P99"/>
    <mergeCell ref="BD92:BD95"/>
    <mergeCell ref="BE92:BE95"/>
    <mergeCell ref="BF92:BF95"/>
    <mergeCell ref="BG92:BG95"/>
    <mergeCell ref="AB92:AB95"/>
    <mergeCell ref="AC92:AC95"/>
    <mergeCell ref="AD92:AD95"/>
    <mergeCell ref="X96:X99"/>
    <mergeCell ref="U92:U95"/>
    <mergeCell ref="V92:V95"/>
    <mergeCell ref="BJ88:BJ91"/>
    <mergeCell ref="BK88:BK91"/>
    <mergeCell ref="A92:A95"/>
    <mergeCell ref="B92:B95"/>
    <mergeCell ref="C92:C95"/>
    <mergeCell ref="D92:D95"/>
    <mergeCell ref="H92:H95"/>
    <mergeCell ref="I92:I95"/>
    <mergeCell ref="J92:J95"/>
    <mergeCell ref="K92:K95"/>
    <mergeCell ref="L92:L95"/>
    <mergeCell ref="M92:M95"/>
    <mergeCell ref="N92:N95"/>
    <mergeCell ref="O92:O95"/>
    <mergeCell ref="P92:P95"/>
    <mergeCell ref="Q92:Q95"/>
    <mergeCell ref="BE88:BE91"/>
    <mergeCell ref="BF88:BF91"/>
    <mergeCell ref="BG88:BG91"/>
    <mergeCell ref="BH88:BH91"/>
    <mergeCell ref="BD88:BD91"/>
    <mergeCell ref="X88:X91"/>
    <mergeCell ref="Y88:Y91"/>
    <mergeCell ref="Z88:Z91"/>
    <mergeCell ref="AA88:AA91"/>
    <mergeCell ref="AB88:AB91"/>
    <mergeCell ref="BI92:BI95"/>
    <mergeCell ref="BJ92:BJ95"/>
    <mergeCell ref="BK92:BK95"/>
    <mergeCell ref="BH92:BH95"/>
    <mergeCell ref="S88:S91"/>
    <mergeCell ref="T88:T91"/>
    <mergeCell ref="U88:U91"/>
    <mergeCell ref="V88:V91"/>
    <mergeCell ref="W88:W91"/>
    <mergeCell ref="N88:N91"/>
    <mergeCell ref="O88:O91"/>
    <mergeCell ref="P88:P91"/>
    <mergeCell ref="Q88:Q91"/>
    <mergeCell ref="R88:R91"/>
    <mergeCell ref="AF88:AF91"/>
    <mergeCell ref="AF92:AF95"/>
    <mergeCell ref="AF96:AF99"/>
    <mergeCell ref="AF100:AF103"/>
    <mergeCell ref="AE92:AE95"/>
    <mergeCell ref="Y96:Y99"/>
    <mergeCell ref="Z96:Z99"/>
    <mergeCell ref="Q96:Q99"/>
    <mergeCell ref="R96:R99"/>
    <mergeCell ref="S96:S99"/>
    <mergeCell ref="T96:T99"/>
    <mergeCell ref="U96:U99"/>
    <mergeCell ref="P100:P103"/>
    <mergeCell ref="Q100:Q103"/>
    <mergeCell ref="R100:R103"/>
    <mergeCell ref="AE88:AE91"/>
    <mergeCell ref="S100:S103"/>
    <mergeCell ref="T100:T103"/>
    <mergeCell ref="AA92:AA95"/>
    <mergeCell ref="R92:R95"/>
    <mergeCell ref="S92:S95"/>
    <mergeCell ref="T92:T95"/>
    <mergeCell ref="I88:I91"/>
    <mergeCell ref="J88:J91"/>
    <mergeCell ref="K88:K91"/>
    <mergeCell ref="L88:L91"/>
    <mergeCell ref="M88:M91"/>
    <mergeCell ref="A88:A91"/>
    <mergeCell ref="B88:B91"/>
    <mergeCell ref="C88:C91"/>
    <mergeCell ref="D88:D91"/>
    <mergeCell ref="H88:H91"/>
    <mergeCell ref="N84:N87"/>
    <mergeCell ref="O84:O87"/>
    <mergeCell ref="P84:P87"/>
    <mergeCell ref="Q84:Q87"/>
    <mergeCell ref="R84:R87"/>
    <mergeCell ref="I84:I87"/>
    <mergeCell ref="J84:J87"/>
    <mergeCell ref="K84:K87"/>
    <mergeCell ref="L84:L87"/>
    <mergeCell ref="M84:M87"/>
    <mergeCell ref="A84:A87"/>
    <mergeCell ref="B84:B87"/>
    <mergeCell ref="C84:C87"/>
    <mergeCell ref="D84:D87"/>
    <mergeCell ref="H84:H87"/>
    <mergeCell ref="A80:A83"/>
    <mergeCell ref="B80:B83"/>
    <mergeCell ref="C80:C83"/>
    <mergeCell ref="D80:D83"/>
    <mergeCell ref="H80:H83"/>
    <mergeCell ref="I80:I83"/>
    <mergeCell ref="J80:J83"/>
    <mergeCell ref="K80:K83"/>
    <mergeCell ref="L80:L83"/>
    <mergeCell ref="M80:M83"/>
    <mergeCell ref="N80:N83"/>
    <mergeCell ref="O80:O83"/>
    <mergeCell ref="P80:P83"/>
    <mergeCell ref="BJ72:BJ75"/>
    <mergeCell ref="BK72:BK75"/>
    <mergeCell ref="A76:A79"/>
    <mergeCell ref="B76:B79"/>
    <mergeCell ref="C76:C79"/>
    <mergeCell ref="D76:D79"/>
    <mergeCell ref="H76:H79"/>
    <mergeCell ref="I76:I79"/>
    <mergeCell ref="J76:J79"/>
    <mergeCell ref="K76:K79"/>
    <mergeCell ref="L76:L79"/>
    <mergeCell ref="M76:M79"/>
    <mergeCell ref="N76:N79"/>
    <mergeCell ref="O76:O79"/>
    <mergeCell ref="P76:P79"/>
    <mergeCell ref="Q76:Q79"/>
    <mergeCell ref="T76:T79"/>
    <mergeCell ref="U76:U79"/>
    <mergeCell ref="R72:R75"/>
    <mergeCell ref="BJ68:BJ71"/>
    <mergeCell ref="BK68:BK71"/>
    <mergeCell ref="A72:A75"/>
    <mergeCell ref="B72:B75"/>
    <mergeCell ref="C72:C75"/>
    <mergeCell ref="D72:D75"/>
    <mergeCell ref="H72:H75"/>
    <mergeCell ref="I72:I75"/>
    <mergeCell ref="J72:J75"/>
    <mergeCell ref="K72:K75"/>
    <mergeCell ref="L72:L75"/>
    <mergeCell ref="M72:M75"/>
    <mergeCell ref="N72:N75"/>
    <mergeCell ref="O72:O75"/>
    <mergeCell ref="P72:P75"/>
    <mergeCell ref="Q72:Q75"/>
    <mergeCell ref="BG80:BG83"/>
    <mergeCell ref="BH80:BH83"/>
    <mergeCell ref="BI80:BI83"/>
    <mergeCell ref="BJ80:BJ83"/>
    <mergeCell ref="BK80:BK83"/>
    <mergeCell ref="U80:U83"/>
    <mergeCell ref="V80:V83"/>
    <mergeCell ref="W80:W83"/>
    <mergeCell ref="X80:X83"/>
    <mergeCell ref="Y80:Y83"/>
    <mergeCell ref="BD72:BD75"/>
    <mergeCell ref="BE72:BE75"/>
    <mergeCell ref="BF72:BF75"/>
    <mergeCell ref="BG72:BG75"/>
    <mergeCell ref="R76:R79"/>
    <mergeCell ref="S76:S79"/>
    <mergeCell ref="BG84:BG87"/>
    <mergeCell ref="BH84:BH87"/>
    <mergeCell ref="AF76:AF79"/>
    <mergeCell ref="BI84:BI87"/>
    <mergeCell ref="BJ84:BJ87"/>
    <mergeCell ref="BK84:BK87"/>
    <mergeCell ref="AE80:AE83"/>
    <mergeCell ref="AF208:AF211"/>
    <mergeCell ref="BD80:BD83"/>
    <mergeCell ref="BE80:BE83"/>
    <mergeCell ref="BF80:BF83"/>
    <mergeCell ref="AE84:AE87"/>
    <mergeCell ref="AF212:AF215"/>
    <mergeCell ref="BD84:BD87"/>
    <mergeCell ref="BE84:BE87"/>
    <mergeCell ref="BF84:BF87"/>
    <mergeCell ref="Z80:Z83"/>
    <mergeCell ref="AA80:AA83"/>
    <mergeCell ref="AB80:AB83"/>
    <mergeCell ref="AC80:AC83"/>
    <mergeCell ref="AD80:AD83"/>
    <mergeCell ref="Z84:Z87"/>
    <mergeCell ref="AA84:AA87"/>
    <mergeCell ref="AB84:AB87"/>
    <mergeCell ref="AC84:AC87"/>
    <mergeCell ref="AD84:AD87"/>
    <mergeCell ref="AF80:AF83"/>
    <mergeCell ref="AF84:AF87"/>
    <mergeCell ref="AF196:AF199"/>
    <mergeCell ref="Z76:Z79"/>
    <mergeCell ref="AC88:AC91"/>
    <mergeCell ref="AD88:AD91"/>
    <mergeCell ref="U84:U87"/>
    <mergeCell ref="V84:V87"/>
    <mergeCell ref="W84:W87"/>
    <mergeCell ref="X84:X87"/>
    <mergeCell ref="Y84:Y87"/>
    <mergeCell ref="Q80:Q83"/>
    <mergeCell ref="R80:R83"/>
    <mergeCell ref="S80:S83"/>
    <mergeCell ref="T80:T83"/>
    <mergeCell ref="S84:S87"/>
    <mergeCell ref="T84:T87"/>
    <mergeCell ref="BD76:BD79"/>
    <mergeCell ref="BE76:BE79"/>
    <mergeCell ref="BF76:BF79"/>
    <mergeCell ref="AF68:AF71"/>
    <mergeCell ref="AF72:AF75"/>
    <mergeCell ref="AA76:AA79"/>
    <mergeCell ref="AB76:AB79"/>
    <mergeCell ref="AC76:AC79"/>
    <mergeCell ref="AD76:AD79"/>
    <mergeCell ref="AE76:AE79"/>
    <mergeCell ref="V76:V79"/>
    <mergeCell ref="W76:W79"/>
    <mergeCell ref="X76:X79"/>
    <mergeCell ref="Y76:Y79"/>
    <mergeCell ref="BD68:BD71"/>
    <mergeCell ref="AB68:AB71"/>
    <mergeCell ref="S68:S71"/>
    <mergeCell ref="T68:T71"/>
    <mergeCell ref="U68:U71"/>
    <mergeCell ref="AB72:AB75"/>
    <mergeCell ref="AC72:AC75"/>
    <mergeCell ref="AD72:AD75"/>
    <mergeCell ref="AE72:AE75"/>
    <mergeCell ref="W72:W75"/>
    <mergeCell ref="X72:X75"/>
    <mergeCell ref="Y72:Y75"/>
    <mergeCell ref="Z72:Z75"/>
    <mergeCell ref="AA72:AA75"/>
    <mergeCell ref="S72:S75"/>
    <mergeCell ref="T72:T75"/>
    <mergeCell ref="U72:U75"/>
    <mergeCell ref="V72:V75"/>
    <mergeCell ref="N68:N71"/>
    <mergeCell ref="O68:O71"/>
    <mergeCell ref="P68:P71"/>
    <mergeCell ref="Q68:Q71"/>
    <mergeCell ref="R68:R71"/>
    <mergeCell ref="I68:I71"/>
    <mergeCell ref="J68:J71"/>
    <mergeCell ref="K68:K71"/>
    <mergeCell ref="L68:L71"/>
    <mergeCell ref="M68:M71"/>
    <mergeCell ref="A68:A71"/>
    <mergeCell ref="B68:B71"/>
    <mergeCell ref="C68:C71"/>
    <mergeCell ref="D68:D71"/>
    <mergeCell ref="H68:H71"/>
    <mergeCell ref="BG64:BG67"/>
    <mergeCell ref="BH64:BH67"/>
    <mergeCell ref="P64:P67"/>
    <mergeCell ref="Q64:Q67"/>
    <mergeCell ref="R64:R67"/>
    <mergeCell ref="S64:S67"/>
    <mergeCell ref="T64:T67"/>
    <mergeCell ref="BG68:BG71"/>
    <mergeCell ref="BH68:BH71"/>
    <mergeCell ref="AF64:AF67"/>
    <mergeCell ref="AC68:AC71"/>
    <mergeCell ref="AD68:AD71"/>
    <mergeCell ref="AE68:AE71"/>
    <mergeCell ref="X68:X71"/>
    <mergeCell ref="Y68:Y71"/>
    <mergeCell ref="Z68:Z71"/>
    <mergeCell ref="AA68:AA71"/>
    <mergeCell ref="V68:V71"/>
    <mergeCell ref="W68:W71"/>
    <mergeCell ref="BE68:BE71"/>
    <mergeCell ref="BF68:BF71"/>
    <mergeCell ref="BI64:BI67"/>
    <mergeCell ref="BJ64:BJ67"/>
    <mergeCell ref="BK64:BK67"/>
    <mergeCell ref="AE64:AE67"/>
    <mergeCell ref="AF192:AF195"/>
    <mergeCell ref="BD64:BD67"/>
    <mergeCell ref="BE64:BE67"/>
    <mergeCell ref="BF64:BF67"/>
    <mergeCell ref="Z64:Z67"/>
    <mergeCell ref="AA64:AA67"/>
    <mergeCell ref="AB64:AB67"/>
    <mergeCell ref="AC64:AC67"/>
    <mergeCell ref="AD64:AD67"/>
    <mergeCell ref="U64:U67"/>
    <mergeCell ref="V64:V67"/>
    <mergeCell ref="W64:W67"/>
    <mergeCell ref="X64:X67"/>
    <mergeCell ref="Y64:Y67"/>
    <mergeCell ref="AF184:AF187"/>
    <mergeCell ref="AF180:AF183"/>
    <mergeCell ref="AF176:AF179"/>
    <mergeCell ref="AF172:AF175"/>
    <mergeCell ref="AF168:AF171"/>
    <mergeCell ref="BI68:BI71"/>
    <mergeCell ref="BI72:BI75"/>
    <mergeCell ref="BG76:BG79"/>
    <mergeCell ref="BH72:BH75"/>
    <mergeCell ref="BH76:BH79"/>
    <mergeCell ref="BI76:BI79"/>
    <mergeCell ref="BJ76:BJ79"/>
    <mergeCell ref="BK76:BK79"/>
    <mergeCell ref="BI88:BI91"/>
    <mergeCell ref="BH60:BH63"/>
    <mergeCell ref="BI60:BI63"/>
    <mergeCell ref="BJ60:BJ63"/>
    <mergeCell ref="BK60:BK63"/>
    <mergeCell ref="A64:A67"/>
    <mergeCell ref="B64:B67"/>
    <mergeCell ref="C64:C67"/>
    <mergeCell ref="D64:D67"/>
    <mergeCell ref="H64:H67"/>
    <mergeCell ref="I64:I67"/>
    <mergeCell ref="J64:J67"/>
    <mergeCell ref="K64:K67"/>
    <mergeCell ref="L64:L67"/>
    <mergeCell ref="M64:M67"/>
    <mergeCell ref="N64:N67"/>
    <mergeCell ref="O64:O67"/>
    <mergeCell ref="AF188:AF191"/>
    <mergeCell ref="BD60:BD63"/>
    <mergeCell ref="BE60:BE63"/>
    <mergeCell ref="BF60:BF63"/>
    <mergeCell ref="BG60:BG63"/>
    <mergeCell ref="AA60:AA63"/>
    <mergeCell ref="AB60:AB63"/>
    <mergeCell ref="AC60:AC63"/>
    <mergeCell ref="AD60:AD63"/>
    <mergeCell ref="AE60:AE63"/>
    <mergeCell ref="V60:V63"/>
    <mergeCell ref="W60:W63"/>
    <mergeCell ref="X60:X63"/>
    <mergeCell ref="Y60:Y63"/>
    <mergeCell ref="Z60:Z63"/>
    <mergeCell ref="Q60:Q63"/>
    <mergeCell ref="R60:R63"/>
    <mergeCell ref="S60:S63"/>
    <mergeCell ref="T60:T63"/>
    <mergeCell ref="U60:U63"/>
    <mergeCell ref="BI56:BI59"/>
    <mergeCell ref="BJ56:BJ59"/>
    <mergeCell ref="BK56:BK59"/>
    <mergeCell ref="A60:A63"/>
    <mergeCell ref="B60:B63"/>
    <mergeCell ref="C60:C63"/>
    <mergeCell ref="D60:D63"/>
    <mergeCell ref="H60:H63"/>
    <mergeCell ref="I60:I63"/>
    <mergeCell ref="J60:J63"/>
    <mergeCell ref="K60:K63"/>
    <mergeCell ref="L60:L63"/>
    <mergeCell ref="M60:M63"/>
    <mergeCell ref="N60:N63"/>
    <mergeCell ref="O60:O63"/>
    <mergeCell ref="P60:P63"/>
    <mergeCell ref="BD56:BD59"/>
    <mergeCell ref="BE56:BE59"/>
    <mergeCell ref="BF56:BF59"/>
    <mergeCell ref="BG56:BG59"/>
    <mergeCell ref="BH56:BH59"/>
    <mergeCell ref="AB56:AB59"/>
    <mergeCell ref="AC56:AC59"/>
    <mergeCell ref="AD56:AD59"/>
    <mergeCell ref="AE56:AE59"/>
    <mergeCell ref="W56:W59"/>
    <mergeCell ref="X56:X59"/>
    <mergeCell ref="Y56:Y59"/>
    <mergeCell ref="AD52:AD55"/>
    <mergeCell ref="AE52:AE55"/>
    <mergeCell ref="BD52:BD55"/>
    <mergeCell ref="AB52:AB55"/>
    <mergeCell ref="S52:S55"/>
    <mergeCell ref="T52:T55"/>
    <mergeCell ref="U52:U55"/>
    <mergeCell ref="V52:V55"/>
    <mergeCell ref="W52:W55"/>
    <mergeCell ref="N52:N55"/>
    <mergeCell ref="R52:R55"/>
    <mergeCell ref="AF52:AF55"/>
    <mergeCell ref="AF56:AF59"/>
    <mergeCell ref="Z56:Z59"/>
    <mergeCell ref="AA56:AA59"/>
    <mergeCell ref="R56:R59"/>
    <mergeCell ref="S56:S59"/>
    <mergeCell ref="T56:T59"/>
    <mergeCell ref="U56:U59"/>
    <mergeCell ref="V56:V59"/>
    <mergeCell ref="I52:I55"/>
    <mergeCell ref="J52:J55"/>
    <mergeCell ref="K52:K55"/>
    <mergeCell ref="L52:L55"/>
    <mergeCell ref="M52:M55"/>
    <mergeCell ref="BJ52:BJ55"/>
    <mergeCell ref="BK52:BK55"/>
    <mergeCell ref="BH52:BH55"/>
    <mergeCell ref="BI52:BI55"/>
    <mergeCell ref="A52:A55"/>
    <mergeCell ref="B52:B55"/>
    <mergeCell ref="C52:C55"/>
    <mergeCell ref="D52:D55"/>
    <mergeCell ref="H52:H55"/>
    <mergeCell ref="A56:A59"/>
    <mergeCell ref="B56:B59"/>
    <mergeCell ref="C56:C59"/>
    <mergeCell ref="D56:D59"/>
    <mergeCell ref="H56:H59"/>
    <mergeCell ref="I56:I59"/>
    <mergeCell ref="J56:J59"/>
    <mergeCell ref="K56:K59"/>
    <mergeCell ref="L56:L59"/>
    <mergeCell ref="M56:M59"/>
    <mergeCell ref="N56:N59"/>
    <mergeCell ref="O56:O59"/>
    <mergeCell ref="P56:P59"/>
    <mergeCell ref="Q56:Q59"/>
    <mergeCell ref="BE52:BE55"/>
    <mergeCell ref="BF52:BF55"/>
    <mergeCell ref="BG52:BG55"/>
    <mergeCell ref="AC52:AC55"/>
    <mergeCell ref="BG48:BG51"/>
    <mergeCell ref="BH48:BH51"/>
    <mergeCell ref="BI48:BI51"/>
    <mergeCell ref="BJ48:BJ51"/>
    <mergeCell ref="BK48:BK51"/>
    <mergeCell ref="AE48:AE51"/>
    <mergeCell ref="BD48:BD51"/>
    <mergeCell ref="BE48:BE51"/>
    <mergeCell ref="BF48:BF51"/>
    <mergeCell ref="Z48:Z51"/>
    <mergeCell ref="AA48:AA51"/>
    <mergeCell ref="AB48:AB51"/>
    <mergeCell ref="AC48:AC51"/>
    <mergeCell ref="AD48:AD51"/>
    <mergeCell ref="U48:U51"/>
    <mergeCell ref="V48:V51"/>
    <mergeCell ref="W48:W51"/>
    <mergeCell ref="X48:X51"/>
    <mergeCell ref="Y48:Y51"/>
    <mergeCell ref="P48:P51"/>
    <mergeCell ref="Q48:Q51"/>
    <mergeCell ref="X52:X55"/>
    <mergeCell ref="AA52:AA55"/>
    <mergeCell ref="G48:G51"/>
    <mergeCell ref="O52:O55"/>
    <mergeCell ref="P52:P55"/>
    <mergeCell ref="Q52:Q55"/>
    <mergeCell ref="BK44:BK47"/>
    <mergeCell ref="A48:A51"/>
    <mergeCell ref="B48:B51"/>
    <mergeCell ref="C48:C51"/>
    <mergeCell ref="D48:D51"/>
    <mergeCell ref="H48:H51"/>
    <mergeCell ref="I48:I51"/>
    <mergeCell ref="J48:J51"/>
    <mergeCell ref="K48:K51"/>
    <mergeCell ref="L48:L51"/>
    <mergeCell ref="M48:M51"/>
    <mergeCell ref="N48:N51"/>
    <mergeCell ref="O48:O51"/>
    <mergeCell ref="BD44:BD47"/>
    <mergeCell ref="BE44:BE47"/>
    <mergeCell ref="BF44:BF47"/>
    <mergeCell ref="BG44:BG47"/>
    <mergeCell ref="AA44:AA47"/>
    <mergeCell ref="AB44:AB47"/>
    <mergeCell ref="AC44:AC47"/>
    <mergeCell ref="AD44:AD47"/>
    <mergeCell ref="AE44:AE47"/>
    <mergeCell ref="V44:V47"/>
    <mergeCell ref="W44:W47"/>
    <mergeCell ref="Q44:Q47"/>
    <mergeCell ref="R44:R47"/>
    <mergeCell ref="S44:S47"/>
    <mergeCell ref="T44:T47"/>
    <mergeCell ref="U44:U47"/>
    <mergeCell ref="BI40:BI43"/>
    <mergeCell ref="BJ40:BJ43"/>
    <mergeCell ref="BK40:BK43"/>
    <mergeCell ref="A44:A47"/>
    <mergeCell ref="B44:B47"/>
    <mergeCell ref="C44:C47"/>
    <mergeCell ref="D44:D47"/>
    <mergeCell ref="H44:H47"/>
    <mergeCell ref="I44:I47"/>
    <mergeCell ref="J44:J47"/>
    <mergeCell ref="K44:K47"/>
    <mergeCell ref="L44:L47"/>
    <mergeCell ref="M44:M47"/>
    <mergeCell ref="N44:N47"/>
    <mergeCell ref="O44:O47"/>
    <mergeCell ref="P44:P47"/>
    <mergeCell ref="BD40:BD43"/>
    <mergeCell ref="BE40:BE43"/>
    <mergeCell ref="BF40:BF43"/>
    <mergeCell ref="BG40:BG43"/>
    <mergeCell ref="BH40:BH43"/>
    <mergeCell ref="AB40:AB43"/>
    <mergeCell ref="AC40:AC43"/>
    <mergeCell ref="AD40:AD43"/>
    <mergeCell ref="AE40:AE43"/>
    <mergeCell ref="T48:T51"/>
    <mergeCell ref="W40:W43"/>
    <mergeCell ref="BH44:BH47"/>
    <mergeCell ref="G40:G43"/>
    <mergeCell ref="G44:G47"/>
    <mergeCell ref="BI44:BI47"/>
    <mergeCell ref="BJ44:BJ47"/>
    <mergeCell ref="BJ36:BJ39"/>
    <mergeCell ref="BK36:BK39"/>
    <mergeCell ref="A40:A43"/>
    <mergeCell ref="B40:B43"/>
    <mergeCell ref="C40:C43"/>
    <mergeCell ref="D40:D43"/>
    <mergeCell ref="H40:H43"/>
    <mergeCell ref="I40:I43"/>
    <mergeCell ref="J40:J43"/>
    <mergeCell ref="K40:K43"/>
    <mergeCell ref="L40:L43"/>
    <mergeCell ref="M40:M43"/>
    <mergeCell ref="N40:N43"/>
    <mergeCell ref="O40:O43"/>
    <mergeCell ref="P40:P43"/>
    <mergeCell ref="Q40:Q43"/>
    <mergeCell ref="BE36:BE39"/>
    <mergeCell ref="BF36:BF39"/>
    <mergeCell ref="BG36:BG39"/>
    <mergeCell ref="BH36:BH39"/>
    <mergeCell ref="BI36:BI39"/>
    <mergeCell ref="AC36:AC39"/>
    <mergeCell ref="AD36:AD39"/>
    <mergeCell ref="X44:X47"/>
    <mergeCell ref="Y44:Y47"/>
    <mergeCell ref="I36:I39"/>
    <mergeCell ref="J36:J39"/>
    <mergeCell ref="K36:K39"/>
    <mergeCell ref="L36:L39"/>
    <mergeCell ref="M36:M39"/>
    <mergeCell ref="A36:A39"/>
    <mergeCell ref="B36:B39"/>
    <mergeCell ref="C36:C39"/>
    <mergeCell ref="D36:D39"/>
    <mergeCell ref="H36:H39"/>
    <mergeCell ref="BG32:BG35"/>
    <mergeCell ref="BH32:BH35"/>
    <mergeCell ref="BI32:BI35"/>
    <mergeCell ref="BJ32:BJ35"/>
    <mergeCell ref="Z36:Z39"/>
    <mergeCell ref="AA36:AA39"/>
    <mergeCell ref="AB36:AB39"/>
    <mergeCell ref="S36:S39"/>
    <mergeCell ref="T36:T39"/>
    <mergeCell ref="U36:U39"/>
    <mergeCell ref="V36:V39"/>
    <mergeCell ref="W36:W39"/>
    <mergeCell ref="N36:N39"/>
    <mergeCell ref="O36:O39"/>
    <mergeCell ref="P36:P39"/>
    <mergeCell ref="Q36:Q39"/>
    <mergeCell ref="R36:R39"/>
    <mergeCell ref="AF36:AF39"/>
    <mergeCell ref="AE36:AE39"/>
    <mergeCell ref="BD36:BD39"/>
    <mergeCell ref="X36:X39"/>
    <mergeCell ref="Y36:Y39"/>
    <mergeCell ref="BE32:BE35"/>
    <mergeCell ref="BF32:BF35"/>
    <mergeCell ref="Z32:Z35"/>
    <mergeCell ref="AA32:AA35"/>
    <mergeCell ref="AB32:AB35"/>
    <mergeCell ref="AC32:AC35"/>
    <mergeCell ref="AD32:AD35"/>
    <mergeCell ref="U32:U35"/>
    <mergeCell ref="V32:V35"/>
    <mergeCell ref="W32:W35"/>
    <mergeCell ref="X32:X35"/>
    <mergeCell ref="Y32:Y35"/>
    <mergeCell ref="P32:P35"/>
    <mergeCell ref="Q32:Q35"/>
    <mergeCell ref="AF60:AF63"/>
    <mergeCell ref="Y52:Y55"/>
    <mergeCell ref="Z52:Z55"/>
    <mergeCell ref="AF40:AF43"/>
    <mergeCell ref="AF44:AF47"/>
    <mergeCell ref="AF48:AF51"/>
    <mergeCell ref="X40:X43"/>
    <mergeCell ref="Y40:Y43"/>
    <mergeCell ref="Z40:Z43"/>
    <mergeCell ref="AA40:AA43"/>
    <mergeCell ref="R40:R43"/>
    <mergeCell ref="S40:S43"/>
    <mergeCell ref="T40:T43"/>
    <mergeCell ref="U40:U43"/>
    <mergeCell ref="V40:V43"/>
    <mergeCell ref="Z44:Z47"/>
    <mergeCell ref="R48:R51"/>
    <mergeCell ref="S48:S51"/>
    <mergeCell ref="BH28:BH31"/>
    <mergeCell ref="BI28:BI31"/>
    <mergeCell ref="BJ28:BJ31"/>
    <mergeCell ref="BK28:BK31"/>
    <mergeCell ref="A32:A35"/>
    <mergeCell ref="B32:B35"/>
    <mergeCell ref="C32:C35"/>
    <mergeCell ref="D32:D35"/>
    <mergeCell ref="H32:H35"/>
    <mergeCell ref="I32:I35"/>
    <mergeCell ref="J32:J35"/>
    <mergeCell ref="K32:K35"/>
    <mergeCell ref="L32:L35"/>
    <mergeCell ref="M32:M35"/>
    <mergeCell ref="N32:N35"/>
    <mergeCell ref="O32:O35"/>
    <mergeCell ref="BD28:BD31"/>
    <mergeCell ref="BE28:BE31"/>
    <mergeCell ref="BF28:BF31"/>
    <mergeCell ref="BG28:BG31"/>
    <mergeCell ref="AA28:AA31"/>
    <mergeCell ref="AB28:AB31"/>
    <mergeCell ref="AC28:AC31"/>
    <mergeCell ref="AD28:AD31"/>
    <mergeCell ref="AE28:AE31"/>
    <mergeCell ref="V28:V31"/>
    <mergeCell ref="W28:W31"/>
    <mergeCell ref="X28:X31"/>
    <mergeCell ref="Y28:Y31"/>
    <mergeCell ref="BK32:BK35"/>
    <mergeCell ref="AE32:AE35"/>
    <mergeCell ref="BD32:BD35"/>
    <mergeCell ref="BI20:BI23"/>
    <mergeCell ref="AC20:AC23"/>
    <mergeCell ref="AD20:AD23"/>
    <mergeCell ref="Z28:Z31"/>
    <mergeCell ref="Q28:Q31"/>
    <mergeCell ref="R28:R31"/>
    <mergeCell ref="S28:S31"/>
    <mergeCell ref="T28:T31"/>
    <mergeCell ref="U28:U31"/>
    <mergeCell ref="BI24:BI27"/>
    <mergeCell ref="BJ24:BJ27"/>
    <mergeCell ref="BK24:BK27"/>
    <mergeCell ref="A28:A31"/>
    <mergeCell ref="B28:B31"/>
    <mergeCell ref="C28:C31"/>
    <mergeCell ref="D28:D31"/>
    <mergeCell ref="H28:H31"/>
    <mergeCell ref="I28:I31"/>
    <mergeCell ref="J28:J31"/>
    <mergeCell ref="K28:K31"/>
    <mergeCell ref="L28:L31"/>
    <mergeCell ref="M28:M31"/>
    <mergeCell ref="N28:N31"/>
    <mergeCell ref="O28:O31"/>
    <mergeCell ref="P28:P31"/>
    <mergeCell ref="BD24:BD27"/>
    <mergeCell ref="BE24:BE27"/>
    <mergeCell ref="BF24:BF27"/>
    <mergeCell ref="BG24:BG27"/>
    <mergeCell ref="BH24:BH27"/>
    <mergeCell ref="AB24:AB27"/>
    <mergeCell ref="AC24:AC27"/>
    <mergeCell ref="B24:B27"/>
    <mergeCell ref="C24:C27"/>
    <mergeCell ref="D24:D27"/>
    <mergeCell ref="H24:H27"/>
    <mergeCell ref="I24:I27"/>
    <mergeCell ref="J24:J27"/>
    <mergeCell ref="K24:K27"/>
    <mergeCell ref="L24:L27"/>
    <mergeCell ref="M24:M27"/>
    <mergeCell ref="N24:N27"/>
    <mergeCell ref="O24:O27"/>
    <mergeCell ref="P24:P27"/>
    <mergeCell ref="Q24:Q27"/>
    <mergeCell ref="BE20:BE23"/>
    <mergeCell ref="BF20:BF23"/>
    <mergeCell ref="BG20:BG23"/>
    <mergeCell ref="BH20:BH23"/>
    <mergeCell ref="AD24:AD27"/>
    <mergeCell ref="AE24:AE27"/>
    <mergeCell ref="W24:W27"/>
    <mergeCell ref="BD20:BD23"/>
    <mergeCell ref="X20:X23"/>
    <mergeCell ref="Y20:Y23"/>
    <mergeCell ref="Z20:Z23"/>
    <mergeCell ref="AA20:AA23"/>
    <mergeCell ref="AB20:AB23"/>
    <mergeCell ref="S20:S23"/>
    <mergeCell ref="T20:T23"/>
    <mergeCell ref="U20:U23"/>
    <mergeCell ref="V20:V23"/>
    <mergeCell ref="W20:W23"/>
    <mergeCell ref="N20:N23"/>
    <mergeCell ref="O20:O23"/>
    <mergeCell ref="P20:P23"/>
    <mergeCell ref="Q20:Q23"/>
    <mergeCell ref="R20:R23"/>
    <mergeCell ref="AF20:AF23"/>
    <mergeCell ref="AF24:AF27"/>
    <mergeCell ref="AF28:AF31"/>
    <mergeCell ref="AF32:AF35"/>
    <mergeCell ref="X24:X27"/>
    <mergeCell ref="Y24:Y27"/>
    <mergeCell ref="Z24:Z27"/>
    <mergeCell ref="AA24:AA27"/>
    <mergeCell ref="R24:R27"/>
    <mergeCell ref="S24:S27"/>
    <mergeCell ref="T24:T27"/>
    <mergeCell ref="U24:U27"/>
    <mergeCell ref="V24:V27"/>
    <mergeCell ref="R32:R35"/>
    <mergeCell ref="S32:S35"/>
    <mergeCell ref="T32:T35"/>
    <mergeCell ref="M20:M23"/>
    <mergeCell ref="A20:A23"/>
    <mergeCell ref="B20:B23"/>
    <mergeCell ref="C20:C23"/>
    <mergeCell ref="D20:D23"/>
    <mergeCell ref="H20:H23"/>
    <mergeCell ref="BG16:BG19"/>
    <mergeCell ref="BH16:BH19"/>
    <mergeCell ref="BI16:BI19"/>
    <mergeCell ref="BJ16:BJ19"/>
    <mergeCell ref="BK16:BK19"/>
    <mergeCell ref="AE16:AE19"/>
    <mergeCell ref="AF144:AF147"/>
    <mergeCell ref="BD16:BD19"/>
    <mergeCell ref="BE16:BE19"/>
    <mergeCell ref="BF16:BF19"/>
    <mergeCell ref="Z16:Z19"/>
    <mergeCell ref="AA16:AA19"/>
    <mergeCell ref="AB16:AB19"/>
    <mergeCell ref="AC16:AC19"/>
    <mergeCell ref="AD16:AD19"/>
    <mergeCell ref="U16:U19"/>
    <mergeCell ref="V16:V19"/>
    <mergeCell ref="W16:W19"/>
    <mergeCell ref="X16:X19"/>
    <mergeCell ref="Y16:Y19"/>
    <mergeCell ref="P16:P19"/>
    <mergeCell ref="Q16:Q19"/>
    <mergeCell ref="AE20:AE23"/>
    <mergeCell ref="BJ20:BJ23"/>
    <mergeCell ref="BK20:BK23"/>
    <mergeCell ref="A24:A27"/>
    <mergeCell ref="A16:A19"/>
    <mergeCell ref="B16:B19"/>
    <mergeCell ref="C16:C19"/>
    <mergeCell ref="D16:D19"/>
    <mergeCell ref="H16:H19"/>
    <mergeCell ref="I16:I19"/>
    <mergeCell ref="J16:J19"/>
    <mergeCell ref="K16:K19"/>
    <mergeCell ref="L16:L19"/>
    <mergeCell ref="M16:M19"/>
    <mergeCell ref="N16:N19"/>
    <mergeCell ref="O16:O19"/>
    <mergeCell ref="I11:I15"/>
    <mergeCell ref="J11:J15"/>
    <mergeCell ref="K11:K15"/>
    <mergeCell ref="L11:L15"/>
    <mergeCell ref="M11:M15"/>
    <mergeCell ref="A11:A15"/>
    <mergeCell ref="B11:B15"/>
    <mergeCell ref="C11:C15"/>
    <mergeCell ref="D11:D15"/>
    <mergeCell ref="H11:H15"/>
    <mergeCell ref="Z11:Z15"/>
    <mergeCell ref="AA11:AA15"/>
    <mergeCell ref="AB11:AB15"/>
    <mergeCell ref="AC11:AC15"/>
    <mergeCell ref="AD11:AD15"/>
    <mergeCell ref="U11:U15"/>
    <mergeCell ref="V11:V15"/>
    <mergeCell ref="W11:W15"/>
    <mergeCell ref="X11:X15"/>
    <mergeCell ref="Y11:Y15"/>
    <mergeCell ref="AF11:AF15"/>
    <mergeCell ref="AF16:AF19"/>
    <mergeCell ref="R16:R19"/>
    <mergeCell ref="S16:S19"/>
    <mergeCell ref="T16:T19"/>
    <mergeCell ref="R11:R15"/>
    <mergeCell ref="S11:S15"/>
    <mergeCell ref="T11:T15"/>
    <mergeCell ref="I7:I10"/>
    <mergeCell ref="J7:J10"/>
    <mergeCell ref="K7:K10"/>
    <mergeCell ref="L7:L10"/>
    <mergeCell ref="M7:M10"/>
    <mergeCell ref="BK7:BK10"/>
    <mergeCell ref="BG7:BG10"/>
    <mergeCell ref="BE7:BE10"/>
    <mergeCell ref="BF7:BF10"/>
    <mergeCell ref="BH7:BH10"/>
    <mergeCell ref="BI7:BI10"/>
    <mergeCell ref="BJ7:BJ10"/>
    <mergeCell ref="X7:X10"/>
    <mergeCell ref="Y7:Y10"/>
    <mergeCell ref="Z7:Z10"/>
    <mergeCell ref="AA7:AA10"/>
    <mergeCell ref="BD7:BD10"/>
    <mergeCell ref="S7:S10"/>
    <mergeCell ref="T7:T10"/>
    <mergeCell ref="U7:U10"/>
    <mergeCell ref="V7:V10"/>
    <mergeCell ref="W7:W10"/>
    <mergeCell ref="A1:D3"/>
    <mergeCell ref="AG5:AI5"/>
    <mergeCell ref="AJ5:AY5"/>
    <mergeCell ref="AZ5:BA5"/>
    <mergeCell ref="BB5:BC5"/>
    <mergeCell ref="E1:BW3"/>
    <mergeCell ref="BU4:BW5"/>
    <mergeCell ref="BL4:BQ5"/>
    <mergeCell ref="BR4:BT5"/>
    <mergeCell ref="A4:G5"/>
    <mergeCell ref="H4:AF4"/>
    <mergeCell ref="AG4:BJ4"/>
    <mergeCell ref="BK4:BK5"/>
    <mergeCell ref="H5:AA5"/>
    <mergeCell ref="AB5:AF5"/>
    <mergeCell ref="BH5:BJ5"/>
    <mergeCell ref="N7:N10"/>
    <mergeCell ref="O7:O10"/>
    <mergeCell ref="P7:P10"/>
    <mergeCell ref="Q7:Q10"/>
    <mergeCell ref="R7:R10"/>
    <mergeCell ref="BD5:BE5"/>
    <mergeCell ref="A7:A10"/>
    <mergeCell ref="B7:B10"/>
    <mergeCell ref="C7:C10"/>
    <mergeCell ref="D7:D10"/>
    <mergeCell ref="AB7:AB10"/>
    <mergeCell ref="AC7:AC10"/>
    <mergeCell ref="AD7:AD10"/>
    <mergeCell ref="AE7:AE10"/>
    <mergeCell ref="AF7:AF10"/>
    <mergeCell ref="H7:H10"/>
    <mergeCell ref="BR14:BR15"/>
    <mergeCell ref="BL56:BL59"/>
    <mergeCell ref="BM56:BM59"/>
    <mergeCell ref="BP56:BP59"/>
    <mergeCell ref="BQ56:BQ59"/>
    <mergeCell ref="E14:E15"/>
    <mergeCell ref="F14:F15"/>
    <mergeCell ref="G14:G15"/>
    <mergeCell ref="BL14:BL15"/>
    <mergeCell ref="BM14:BM15"/>
    <mergeCell ref="BN14:BN15"/>
    <mergeCell ref="BO14:BO15"/>
    <mergeCell ref="BP14:BP15"/>
    <mergeCell ref="BQ14:BQ15"/>
    <mergeCell ref="G16:G18"/>
    <mergeCell ref="BG11:BG15"/>
    <mergeCell ref="BH11:BH15"/>
    <mergeCell ref="BI11:BI15"/>
    <mergeCell ref="BJ11:BJ15"/>
    <mergeCell ref="BK11:BK15"/>
    <mergeCell ref="AE11:AE15"/>
    <mergeCell ref="N11:N15"/>
    <mergeCell ref="O11:O15"/>
    <mergeCell ref="P11:P15"/>
    <mergeCell ref="Q11:Q15"/>
    <mergeCell ref="I20:I23"/>
    <mergeCell ref="J20:J23"/>
    <mergeCell ref="K20:K23"/>
    <mergeCell ref="L20:L23"/>
    <mergeCell ref="BD11:BD15"/>
    <mergeCell ref="BE11:BE15"/>
    <mergeCell ref="BF11:BF15"/>
  </mergeCells>
  <conditionalFormatting sqref="AF7 AF11 AF16 AF20 AF24 AF28 AF32 AF36 AF40 AF44 AF48 AF52 AF56 AF60 AF64 AF68 AF72 AF76 AF80 AF84 AF88 AF92 AF96 AF100 AF104 AF108 AF112 AF116 AF120 AF124">
    <cfRule type="cellIs" dxfId="140" priority="1" operator="equal">
      <formula>"Extremo"</formula>
    </cfRule>
    <cfRule type="cellIs" dxfId="139" priority="2" operator="equal">
      <formula>"Alto"</formula>
    </cfRule>
    <cfRule type="cellIs" dxfId="138" priority="3" operator="equal">
      <formula>"Moderado"</formula>
    </cfRule>
    <cfRule type="cellIs" dxfId="137" priority="4" operator="equal">
      <formula>"Bajo"</formula>
    </cfRule>
  </conditionalFormatting>
  <conditionalFormatting sqref="BJ7">
    <cfRule type="cellIs" dxfId="136" priority="289" operator="equal">
      <formula>"Extremo"</formula>
    </cfRule>
    <cfRule type="cellIs" dxfId="135" priority="290" operator="equal">
      <formula>"Alto"</formula>
    </cfRule>
    <cfRule type="cellIs" dxfId="134" priority="291" operator="equal">
      <formula>"Moderado"</formula>
    </cfRule>
    <cfRule type="cellIs" dxfId="133" priority="292" operator="equal">
      <formula>"Bajo"</formula>
    </cfRule>
  </conditionalFormatting>
  <conditionalFormatting sqref="BJ11">
    <cfRule type="cellIs" dxfId="132" priority="120" operator="equal">
      <formula>"Bajo"</formula>
    </cfRule>
    <cfRule type="cellIs" dxfId="131" priority="119" operator="equal">
      <formula>"Moderado"</formula>
    </cfRule>
    <cfRule type="cellIs" dxfId="130" priority="118" operator="equal">
      <formula>"Alto"</formula>
    </cfRule>
    <cfRule type="cellIs" dxfId="129" priority="117" operator="equal">
      <formula>"Extremo"</formula>
    </cfRule>
  </conditionalFormatting>
  <conditionalFormatting sqref="BJ16">
    <cfRule type="cellIs" dxfId="128" priority="116" operator="equal">
      <formula>"Bajo"</formula>
    </cfRule>
    <cfRule type="cellIs" dxfId="127" priority="115" operator="equal">
      <formula>"Moderado"</formula>
    </cfRule>
    <cfRule type="cellIs" dxfId="126" priority="114" operator="equal">
      <formula>"Alto"</formula>
    </cfRule>
    <cfRule type="cellIs" dxfId="125" priority="113" operator="equal">
      <formula>"Extremo"</formula>
    </cfRule>
  </conditionalFormatting>
  <conditionalFormatting sqref="BJ20">
    <cfRule type="cellIs" dxfId="124" priority="112" operator="equal">
      <formula>"Bajo"</formula>
    </cfRule>
    <cfRule type="cellIs" dxfId="123" priority="111" operator="equal">
      <formula>"Moderado"</formula>
    </cfRule>
    <cfRule type="cellIs" dxfId="122" priority="110" operator="equal">
      <formula>"Alto"</formula>
    </cfRule>
    <cfRule type="cellIs" dxfId="121" priority="109" operator="equal">
      <formula>"Extremo"</formula>
    </cfRule>
  </conditionalFormatting>
  <conditionalFormatting sqref="BJ24">
    <cfRule type="cellIs" dxfId="120" priority="108" operator="equal">
      <formula>"Bajo"</formula>
    </cfRule>
    <cfRule type="cellIs" dxfId="119" priority="107" operator="equal">
      <formula>"Moderado"</formula>
    </cfRule>
    <cfRule type="cellIs" dxfId="118" priority="105" operator="equal">
      <formula>"Extremo"</formula>
    </cfRule>
    <cfRule type="cellIs" dxfId="117" priority="106" operator="equal">
      <formula>"Alto"</formula>
    </cfRule>
  </conditionalFormatting>
  <conditionalFormatting sqref="BJ28">
    <cfRule type="cellIs" dxfId="116" priority="102" operator="equal">
      <formula>"Alto"</formula>
    </cfRule>
    <cfRule type="cellIs" dxfId="115" priority="101" operator="equal">
      <formula>"Extremo"</formula>
    </cfRule>
    <cfRule type="cellIs" dxfId="114" priority="104" operator="equal">
      <formula>"Bajo"</formula>
    </cfRule>
    <cfRule type="cellIs" dxfId="113" priority="103" operator="equal">
      <formula>"Moderado"</formula>
    </cfRule>
  </conditionalFormatting>
  <conditionalFormatting sqref="BJ32">
    <cfRule type="cellIs" dxfId="112" priority="100" operator="equal">
      <formula>"Bajo"</formula>
    </cfRule>
    <cfRule type="cellIs" dxfId="111" priority="99" operator="equal">
      <formula>"Moderado"</formula>
    </cfRule>
    <cfRule type="cellIs" dxfId="110" priority="98" operator="equal">
      <formula>"Alto"</formula>
    </cfRule>
    <cfRule type="cellIs" dxfId="109" priority="97" operator="equal">
      <formula>"Extremo"</formula>
    </cfRule>
  </conditionalFormatting>
  <conditionalFormatting sqref="BJ36">
    <cfRule type="cellIs" dxfId="108" priority="96" operator="equal">
      <formula>"Bajo"</formula>
    </cfRule>
    <cfRule type="cellIs" dxfId="107" priority="95" operator="equal">
      <formula>"Moderado"</formula>
    </cfRule>
    <cfRule type="cellIs" dxfId="106" priority="93" operator="equal">
      <formula>"Extremo"</formula>
    </cfRule>
    <cfRule type="cellIs" dxfId="105" priority="94" operator="equal">
      <formula>"Alto"</formula>
    </cfRule>
  </conditionalFormatting>
  <conditionalFormatting sqref="BJ40">
    <cfRule type="cellIs" dxfId="104" priority="92" operator="equal">
      <formula>"Bajo"</formula>
    </cfRule>
    <cfRule type="cellIs" dxfId="103" priority="91" operator="equal">
      <formula>"Moderado"</formula>
    </cfRule>
    <cfRule type="cellIs" dxfId="102" priority="90" operator="equal">
      <formula>"Alto"</formula>
    </cfRule>
    <cfRule type="cellIs" dxfId="101" priority="89" operator="equal">
      <formula>"Extremo"</formula>
    </cfRule>
  </conditionalFormatting>
  <conditionalFormatting sqref="BJ44">
    <cfRule type="cellIs" dxfId="100" priority="88" operator="equal">
      <formula>"Bajo"</formula>
    </cfRule>
    <cfRule type="cellIs" dxfId="99" priority="87" operator="equal">
      <formula>"Moderado"</formula>
    </cfRule>
    <cfRule type="cellIs" dxfId="98" priority="86" operator="equal">
      <formula>"Alto"</formula>
    </cfRule>
    <cfRule type="cellIs" dxfId="97" priority="85" operator="equal">
      <formula>"Extremo"</formula>
    </cfRule>
  </conditionalFormatting>
  <conditionalFormatting sqref="BJ48">
    <cfRule type="cellIs" dxfId="96" priority="84" operator="equal">
      <formula>"Bajo"</formula>
    </cfRule>
    <cfRule type="cellIs" dxfId="95" priority="83" operator="equal">
      <formula>"Moderado"</formula>
    </cfRule>
    <cfRule type="cellIs" dxfId="94" priority="82" operator="equal">
      <formula>"Alto"</formula>
    </cfRule>
    <cfRule type="cellIs" dxfId="93" priority="81" operator="equal">
      <formula>"Extremo"</formula>
    </cfRule>
  </conditionalFormatting>
  <conditionalFormatting sqref="BJ52">
    <cfRule type="cellIs" dxfId="92" priority="80" operator="equal">
      <formula>"Bajo"</formula>
    </cfRule>
    <cfRule type="cellIs" dxfId="91" priority="79" operator="equal">
      <formula>"Moderado"</formula>
    </cfRule>
    <cfRule type="cellIs" dxfId="90" priority="77" operator="equal">
      <formula>"Extremo"</formula>
    </cfRule>
    <cfRule type="cellIs" dxfId="89" priority="78" operator="equal">
      <formula>"Alto"</formula>
    </cfRule>
  </conditionalFormatting>
  <conditionalFormatting sqref="BJ56">
    <cfRule type="cellIs" dxfId="88" priority="76" operator="equal">
      <formula>"Bajo"</formula>
    </cfRule>
    <cfRule type="cellIs" dxfId="87" priority="75" operator="equal">
      <formula>"Moderado"</formula>
    </cfRule>
    <cfRule type="cellIs" dxfId="86" priority="74" operator="equal">
      <formula>"Alto"</formula>
    </cfRule>
    <cfRule type="cellIs" dxfId="85" priority="73" operator="equal">
      <formula>"Extremo"</formula>
    </cfRule>
  </conditionalFormatting>
  <conditionalFormatting sqref="BJ60">
    <cfRule type="cellIs" dxfId="84" priority="72" operator="equal">
      <formula>"Bajo"</formula>
    </cfRule>
    <cfRule type="cellIs" dxfId="83" priority="71" operator="equal">
      <formula>"Moderado"</formula>
    </cfRule>
    <cfRule type="cellIs" dxfId="82" priority="70" operator="equal">
      <formula>"Alto"</formula>
    </cfRule>
    <cfRule type="cellIs" dxfId="81" priority="69" operator="equal">
      <formula>"Extremo"</formula>
    </cfRule>
  </conditionalFormatting>
  <conditionalFormatting sqref="BJ64">
    <cfRule type="cellIs" dxfId="80" priority="68" operator="equal">
      <formula>"Bajo"</formula>
    </cfRule>
    <cfRule type="cellIs" dxfId="79" priority="67" operator="equal">
      <formula>"Moderado"</formula>
    </cfRule>
    <cfRule type="cellIs" dxfId="78" priority="66" operator="equal">
      <formula>"Alto"</formula>
    </cfRule>
    <cfRule type="cellIs" dxfId="77" priority="65" operator="equal">
      <formula>"Extremo"</formula>
    </cfRule>
  </conditionalFormatting>
  <conditionalFormatting sqref="BJ68">
    <cfRule type="cellIs" dxfId="76" priority="61" operator="equal">
      <formula>"Extremo"</formula>
    </cfRule>
    <cfRule type="cellIs" dxfId="75" priority="62" operator="equal">
      <formula>"Alto"</formula>
    </cfRule>
    <cfRule type="cellIs" dxfId="74" priority="63" operator="equal">
      <formula>"Moderado"</formula>
    </cfRule>
    <cfRule type="cellIs" dxfId="73" priority="64" operator="equal">
      <formula>"Bajo"</formula>
    </cfRule>
  </conditionalFormatting>
  <conditionalFormatting sqref="BJ72">
    <cfRule type="cellIs" dxfId="72" priority="57" operator="equal">
      <formula>"Extremo"</formula>
    </cfRule>
    <cfRule type="cellIs" dxfId="71" priority="60" operator="equal">
      <formula>"Bajo"</formula>
    </cfRule>
    <cfRule type="cellIs" dxfId="70" priority="59" operator="equal">
      <formula>"Moderado"</formula>
    </cfRule>
    <cfRule type="cellIs" dxfId="69" priority="58" operator="equal">
      <formula>"Alto"</formula>
    </cfRule>
  </conditionalFormatting>
  <conditionalFormatting sqref="BJ76">
    <cfRule type="cellIs" dxfId="68" priority="56" operator="equal">
      <formula>"Bajo"</formula>
    </cfRule>
    <cfRule type="cellIs" dxfId="67" priority="55" operator="equal">
      <formula>"Moderado"</formula>
    </cfRule>
    <cfRule type="cellIs" dxfId="66" priority="54" operator="equal">
      <formula>"Alto"</formula>
    </cfRule>
    <cfRule type="cellIs" dxfId="65" priority="53" operator="equal">
      <formula>"Extremo"</formula>
    </cfRule>
  </conditionalFormatting>
  <conditionalFormatting sqref="BJ80">
    <cfRule type="cellIs" dxfId="64" priority="52" operator="equal">
      <formula>"Bajo"</formula>
    </cfRule>
    <cfRule type="cellIs" dxfId="63" priority="51" operator="equal">
      <formula>"Moderado"</formula>
    </cfRule>
    <cfRule type="cellIs" dxfId="62" priority="50" operator="equal">
      <formula>"Alto"</formula>
    </cfRule>
    <cfRule type="cellIs" dxfId="61" priority="49" operator="equal">
      <formula>"Extremo"</formula>
    </cfRule>
  </conditionalFormatting>
  <conditionalFormatting sqref="BJ84">
    <cfRule type="cellIs" dxfId="60" priority="47" operator="equal">
      <formula>"Moderado"</formula>
    </cfRule>
    <cfRule type="cellIs" dxfId="59" priority="48" operator="equal">
      <formula>"Bajo"</formula>
    </cfRule>
    <cfRule type="cellIs" dxfId="58" priority="46" operator="equal">
      <formula>"Alto"</formula>
    </cfRule>
    <cfRule type="cellIs" dxfId="57" priority="45" operator="equal">
      <formula>"Extremo"</formula>
    </cfRule>
  </conditionalFormatting>
  <conditionalFormatting sqref="BJ88">
    <cfRule type="cellIs" dxfId="56" priority="44" operator="equal">
      <formula>"Bajo"</formula>
    </cfRule>
    <cfRule type="cellIs" dxfId="55" priority="43" operator="equal">
      <formula>"Moderado"</formula>
    </cfRule>
    <cfRule type="cellIs" dxfId="54" priority="42" operator="equal">
      <formula>"Alto"</formula>
    </cfRule>
    <cfRule type="cellIs" dxfId="53" priority="41" operator="equal">
      <formula>"Extremo"</formula>
    </cfRule>
  </conditionalFormatting>
  <conditionalFormatting sqref="BJ92">
    <cfRule type="cellIs" dxfId="52" priority="40" operator="equal">
      <formula>"Bajo"</formula>
    </cfRule>
    <cfRule type="cellIs" dxfId="51" priority="39" operator="equal">
      <formula>"Moderado"</formula>
    </cfRule>
    <cfRule type="cellIs" dxfId="50" priority="38" operator="equal">
      <formula>"Alto"</formula>
    </cfRule>
    <cfRule type="cellIs" dxfId="49" priority="37" operator="equal">
      <formula>"Extremo"</formula>
    </cfRule>
  </conditionalFormatting>
  <conditionalFormatting sqref="BJ96">
    <cfRule type="cellIs" dxfId="48" priority="36" operator="equal">
      <formula>"Bajo"</formula>
    </cfRule>
    <cfRule type="cellIs" dxfId="47" priority="35" operator="equal">
      <formula>"Moderado"</formula>
    </cfRule>
    <cfRule type="cellIs" dxfId="46" priority="34" operator="equal">
      <formula>"Alto"</formula>
    </cfRule>
    <cfRule type="cellIs" dxfId="45" priority="33" operator="equal">
      <formula>"Extremo"</formula>
    </cfRule>
  </conditionalFormatting>
  <conditionalFormatting sqref="BJ100">
    <cfRule type="cellIs" dxfId="44" priority="32" operator="equal">
      <formula>"Bajo"</formula>
    </cfRule>
    <cfRule type="cellIs" dxfId="43" priority="31" operator="equal">
      <formula>"Moderado"</formula>
    </cfRule>
    <cfRule type="cellIs" dxfId="42" priority="30" operator="equal">
      <formula>"Alto"</formula>
    </cfRule>
    <cfRule type="cellIs" dxfId="41" priority="29" operator="equal">
      <formula>"Extremo"</formula>
    </cfRule>
  </conditionalFormatting>
  <conditionalFormatting sqref="BJ104">
    <cfRule type="cellIs" dxfId="40" priority="28" operator="equal">
      <formula>"Bajo"</formula>
    </cfRule>
    <cfRule type="cellIs" dxfId="39" priority="27" operator="equal">
      <formula>"Moderado"</formula>
    </cfRule>
    <cfRule type="cellIs" dxfId="38" priority="26" operator="equal">
      <formula>"Alto"</formula>
    </cfRule>
    <cfRule type="cellIs" dxfId="37" priority="25" operator="equal">
      <formula>"Extremo"</formula>
    </cfRule>
  </conditionalFormatting>
  <conditionalFormatting sqref="BJ108">
    <cfRule type="cellIs" dxfId="36" priority="24" operator="equal">
      <formula>"Bajo"</formula>
    </cfRule>
    <cfRule type="cellIs" dxfId="35" priority="23" operator="equal">
      <formula>"Moderado"</formula>
    </cfRule>
    <cfRule type="cellIs" dxfId="34" priority="22" operator="equal">
      <formula>"Alto"</formula>
    </cfRule>
    <cfRule type="cellIs" dxfId="33" priority="21" operator="equal">
      <formula>"Extremo"</formula>
    </cfRule>
  </conditionalFormatting>
  <conditionalFormatting sqref="BJ112">
    <cfRule type="cellIs" dxfId="32" priority="20" operator="equal">
      <formula>"Bajo"</formula>
    </cfRule>
    <cfRule type="cellIs" dxfId="31" priority="19" operator="equal">
      <formula>"Moderado"</formula>
    </cfRule>
    <cfRule type="cellIs" dxfId="30" priority="18" operator="equal">
      <formula>"Alto"</formula>
    </cfRule>
    <cfRule type="cellIs" dxfId="29" priority="17" operator="equal">
      <formula>"Extremo"</formula>
    </cfRule>
  </conditionalFormatting>
  <conditionalFormatting sqref="BJ116">
    <cfRule type="cellIs" dxfId="28" priority="16" operator="equal">
      <formula>"Bajo"</formula>
    </cfRule>
    <cfRule type="cellIs" dxfId="27" priority="14" operator="equal">
      <formula>"Alto"</formula>
    </cfRule>
    <cfRule type="cellIs" dxfId="26" priority="13" operator="equal">
      <formula>"Extremo"</formula>
    </cfRule>
    <cfRule type="cellIs" dxfId="25" priority="15" operator="equal">
      <formula>"Moderado"</formula>
    </cfRule>
  </conditionalFormatting>
  <conditionalFormatting sqref="BJ120">
    <cfRule type="cellIs" dxfId="24" priority="12" operator="equal">
      <formula>"Bajo"</formula>
    </cfRule>
    <cfRule type="cellIs" dxfId="23" priority="11" operator="equal">
      <formula>"Moderado"</formula>
    </cfRule>
    <cfRule type="cellIs" dxfId="22" priority="10" operator="equal">
      <formula>"Alto"</formula>
    </cfRule>
    <cfRule type="cellIs" dxfId="21" priority="9" operator="equal">
      <formula>"Extremo"</formula>
    </cfRule>
  </conditionalFormatting>
  <conditionalFormatting sqref="BJ124">
    <cfRule type="cellIs" dxfId="20" priority="7" operator="equal">
      <formula>"Moderado"</formula>
    </cfRule>
    <cfRule type="cellIs" dxfId="19" priority="6" operator="equal">
      <formula>"Alto"</formula>
    </cfRule>
    <cfRule type="cellIs" dxfId="18" priority="5" operator="equal">
      <formula>"Extremo"</formula>
    </cfRule>
    <cfRule type="cellIs" dxfId="17" priority="8" operator="equal">
      <formula>"Bajo"</formula>
    </cfRule>
  </conditionalFormatting>
  <dataValidations xWindow="782" yWindow="446" count="30">
    <dataValidation allowBlank="1" showInputMessage="1" showErrorMessage="1" prompt="Fuerte: 100_x000a__x000a_Moderado: Entre 50 y 99_x000a__x000a_Débil: Menor a 50" sqref="BE6"/>
    <dataValidation allowBlank="1" showInputMessage="1" showErrorMessage="1" prompt="Fuerte: 100_x000a__x000a_Moderado: 50_x000a__x000a_Débil: 0" sqref="BC6"/>
    <dataValidation allowBlank="1" showInputMessage="1" showErrorMessage="1" prompt="Fuerte: Siempre se ejecuta_x000a__x000a_Moderado: Algunas veces_x000a__x000a_Débil: No se ejecuta " sqref="AZ6:BA6"/>
    <dataValidation allowBlank="1" showInputMessage="1" showErrorMessage="1" prompt="Fuerte: Calificación entre 96 y 100_x000a__x000a_Moderado: Calificación entre 86 y 95_x000a__x000a_Débil: Calificación entre 0 y 85" sqref="AY6"/>
    <dataValidation allowBlank="1" showInputMessage="1" showErrorMessage="1" prompt="- Confiable (15)_x000a__x000a_- No Confiable (0)_x000a_" sqref="AR6:AS6"/>
    <dataValidation allowBlank="1" showInputMessage="1" showErrorMessage="1" prompt="- Prevenir (15)_x000a__x000a_- Detectar (10)_x000a__x000a_- No es un Control (0)" sqref="AP6:AQ6"/>
    <dataValidation allowBlank="1" showInputMessage="1" showErrorMessage="1" prompt="- Oportuna (15)_x000a__x000a_- Inoportuna (0)_x000a_" sqref="AN6:AO6"/>
    <dataValidation allowBlank="1" showInputMessage="1" showErrorMessage="1" prompt="- Asignado (15)_x000a__x000a_- No Asignado (0)" sqref="AJ6:AK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AI6"/>
    <dataValidation allowBlank="1" showInputMessage="1" showErrorMessage="1" prompt="Completa (10)_x000a__x000a_Incompleta (5)_x000a__x000a_No esxiste (0)" sqref="AV6:AW6"/>
    <dataValidation allowBlank="1" showInputMessage="1" showErrorMessage="1" prompt="- Se investigan y se resuelven Oportunamente (15)_x000a__x000a_- No se investigan y resuelven Oportunamente (0)_x000a_" sqref="AT6:AU6"/>
    <dataValidation allowBlank="1" showInputMessage="1" showErrorMessage="1" prompt="- Adecuado (15)_x000a__x000a_- Inadecuado (0)_x000a_" sqref="AL6:AM6"/>
    <dataValidation allowBlank="1" showInputMessage="1" showErrorMessage="1" prompt="Promedio entre el diseño Total de Control y Total Solidez Individual " sqref="BD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BB6"/>
    <dataValidation allowBlank="1" showInputMessage="1" showErrorMessage="1" prompt="Si el resultado de las calificaciones del control o promedio en el diseño de los controles, está por debajo de 96%, se debe establecer un plan de acción que permita tener un control bien diseñado" sqref="AX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AA6 AC6:AE6"/>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AB6"/>
    <dataValidation type="list" allowBlank="1" showInputMessage="1" showErrorMessage="1" sqref="AH7:AH10 AH122:AH124 AH126:AH127 AH19 AH22:AH23 AH118:AH120 AH114:AH116 AH110:AH112 AH106:AH108 AH102:AH104 AH98:AH100 AH94:AH96 AH54:AH55 AH62:AH64 AH66:AH68 AH70:AH72 AH74:AH76 AH78:AH80 AH82:AH84 AH86:AH88 AH90:AH92 AH60">
      <formula1>$E$7:$E$8</formula1>
    </dataValidation>
    <dataValidation type="list" allowBlank="1" showInputMessage="1" showErrorMessage="1" sqref="AH11:AH15">
      <formula1>$E$11:$E$15</formula1>
    </dataValidation>
    <dataValidation type="list" allowBlank="1" showInputMessage="1" showErrorMessage="1" sqref="AH16:AH18">
      <formula1>$E$16:$E$19</formula1>
    </dataValidation>
    <dataValidation type="list" allowBlank="1" showInputMessage="1" showErrorMessage="1" sqref="AH20:AH21">
      <formula1>$E$20:$E$23</formula1>
    </dataValidation>
    <dataValidation type="list" allowBlank="1" showInputMessage="1" showErrorMessage="1" sqref="AH24:AH27">
      <formula1>$E$24:$E$27</formula1>
    </dataValidation>
    <dataValidation type="list" allowBlank="1" showInputMessage="1" showErrorMessage="1" sqref="AH28:AH31">
      <formula1>$E$28:$E$31</formula1>
    </dataValidation>
    <dataValidation type="list" allowBlank="1" showInputMessage="1" showErrorMessage="1" sqref="AH32:AH35">
      <formula1>$E$32:$E$35</formula1>
    </dataValidation>
    <dataValidation type="list" allowBlank="1" showInputMessage="1" showErrorMessage="1" sqref="AH36:AH39">
      <formula1>$E$36:$E$39</formula1>
    </dataValidation>
    <dataValidation type="list" allowBlank="1" showInputMessage="1" showErrorMessage="1" sqref="AH40:AH43">
      <formula1>$E$40:$E$43</formula1>
    </dataValidation>
    <dataValidation type="list" allowBlank="1" showInputMessage="1" showErrorMessage="1" sqref="AH44:AH47">
      <formula1>$E$44:$E$47</formula1>
    </dataValidation>
    <dataValidation type="list" allowBlank="1" showInputMessage="1" showErrorMessage="1" sqref="AH48:AH51">
      <formula1>$E$48:$E$51</formula1>
    </dataValidation>
    <dataValidation type="list" allowBlank="1" showInputMessage="1" showErrorMessage="1" sqref="AH52:AH53">
      <formula1>$E$52:$E$55</formula1>
    </dataValidation>
    <dataValidation type="list" allowBlank="1" showInputMessage="1" showErrorMessage="1" sqref="AH56:AH59">
      <formula1>$E$56:$E$59</formula1>
    </dataValidation>
  </dataValidations>
  <hyperlinks>
    <hyperlink ref="BR32" r:id="rId1" display="https://minjusticiagovco-my.sharepoint.com/:f:/r/personal/gobdigital_calidad_minjusticia_gov_co/Documents/GOBIERNO DIGITAL/VIGENCIA 2025/Calidad 2025/Mapa-Matriz de Riesgos gesti%C3%B3n y corrupcion/Trimestre 1/Matriz de riesgos gestion y corrupcion Primer trimestre - Remitido/Evidencias Riesgo 3?csf=1&amp;web=1&amp;e=kYXrK8"/>
  </hyperlinks>
  <printOptions horizontalCentered="1"/>
  <pageMargins left="0" right="0" top="0.35433070866141736" bottom="0.35433070866141736" header="0.31496062992125984" footer="0.31496062992125984"/>
  <pageSetup paperSize="5" scale="50" pageOrder="overThenDown" orientation="portrait" r:id="rId2"/>
  <headerFooter>
    <oddFooter>&amp;CPág. &amp;P de &amp;N</oddFooter>
  </headerFooter>
  <drawing r:id="rId3"/>
  <legacyDrawing r:id="rId4"/>
  <extLst>
    <ext xmlns:x14="http://schemas.microsoft.com/office/spreadsheetml/2009/9/main" uri="{CCE6A557-97BC-4b89-ADB6-D9C93CAAB3DF}">
      <x14:dataValidations xmlns:xm="http://schemas.microsoft.com/office/excel/2006/main" xWindow="782" yWindow="446" count="8">
        <x14:dataValidation type="list" allowBlank="1" showInputMessage="1" showErrorMessage="1">
          <x14:formula1>
            <xm:f>Listados!$B$26:$B$27</xm:f>
          </x14:formula1>
          <xm:sqref>H24:Z24 H120:Z120 H7:Z7 H11:Z11 H16:Z16 H20:Z20 H28:Z28 AN7:AN32 H32:Z32 H52:Z52 AN34:AN36 AT7:AT127 H104:Z104 H124:Z124 H36:Z36 H68:Z68 AN38:AN127 H112:Z112 H64:Z64 H100:Z100 H40:Z40 AL7:AL1048576 H116:Z116 H56:Z56 H84:Z84 AJ7:AJ127 H44:Z44 H96:Z96 H76:Z76 H108:Z108 H92:Z92 H88:Z88 H48:Z48 H72:Z72 AR7:AR127 H80:Z80 H60:Z60</xm:sqref>
        </x14:dataValidation>
        <x14:dataValidation type="list" allowBlank="1" showInputMessage="1" showErrorMessage="1">
          <x14:formula1>
            <xm:f>Corrupción!$J$3:$J$7</xm:f>
          </x14:formula1>
          <xm:sqref>AB20 AB7 AB11 AB16 AB24 AB28 AB32 AB36 AB40 AB44 AB48 AB52 AB56 AB60 AB64 AB68 AB72 AB76 AB80 AB84 AB88 AB92 AB96 AB100 AB104 AB108 AB112 AB116 AB120 AB124</xm:sqref>
        </x14:dataValidation>
        <x14:dataValidation type="list" allowBlank="1" showInputMessage="1" showErrorMessage="1">
          <x14:formula1>
            <xm:f>Listados!$B$3:$B$20</xm:f>
          </x14:formula1>
          <xm:sqref>B7 B16 B20 B11 B24 B28 B32 B36 B40 B44 B48 B124 B56 B60 B64 B68 B72 B76 B80 B84 B88 B92 B96 B100 B104 B108 B112 B116 B120</xm:sqref>
        </x14:dataValidation>
        <x14:dataValidation type="list" allowBlank="1" showInputMessage="1" showErrorMessage="1">
          <x14:formula1>
            <xm:f>Listados!$G$26:$G$27</xm:f>
          </x14:formula1>
          <xm:sqref>AP7:AP127 AI7:AI30 AI32:AI127</xm:sqref>
        </x14:dataValidation>
        <x14:dataValidation type="list" allowBlank="1" showInputMessage="1" showErrorMessage="1">
          <x14:formula1>
            <xm:f>Listados!$C$26:$C$28</xm:f>
          </x14:formula1>
          <xm:sqref>AV7:AV127</xm:sqref>
        </x14:dataValidation>
        <x14:dataValidation type="list" allowBlank="1" showInputMessage="1" showErrorMessage="1">
          <x14:formula1>
            <xm:f>Listados!$E$26:$E$28</xm:f>
          </x14:formula1>
          <xm:sqref>AZ7:AZ127</xm:sqref>
        </x14:dataValidation>
        <x14:dataValidation type="list" allowBlank="1" showInputMessage="1" showErrorMessage="1">
          <x14:formula1>
            <xm:f>Listados!$E$3:$E$4</xm:f>
          </x14:formula1>
          <xm:sqref>F7:F14 F16:F30 F32:F1048576</xm:sqref>
        </x14:dataValidation>
        <x14:dataValidation type="list" allowBlank="1" showInputMessage="1" showErrorMessage="1">
          <x14:formula1>
            <xm:f>Listados!$B$3:$B$21</xm:f>
          </x14:formula1>
          <xm:sqref>B52:B55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D15"/>
  <sheetViews>
    <sheetView topLeftCell="A4" zoomScale="90" zoomScaleNormal="90" workbookViewId="0">
      <selection activeCell="D15" sqref="D4:D15"/>
    </sheetView>
  </sheetViews>
  <sheetFormatPr baseColWidth="10" defaultColWidth="11.42578125" defaultRowHeight="15"/>
  <cols>
    <col min="4" max="4" width="126" bestFit="1" customWidth="1"/>
  </cols>
  <sheetData>
    <row r="4" spans="4:4" ht="33.75">
      <c r="D4" s="46" t="s">
        <v>1069</v>
      </c>
    </row>
    <row r="5" spans="4:4" ht="33.75">
      <c r="D5" s="46" t="s">
        <v>1070</v>
      </c>
    </row>
    <row r="6" spans="4:4" ht="33.75">
      <c r="D6" s="46" t="s">
        <v>1071</v>
      </c>
    </row>
    <row r="7" spans="4:4" ht="33.75">
      <c r="D7" s="46" t="s">
        <v>1072</v>
      </c>
    </row>
    <row r="8" spans="4:4" ht="33.75">
      <c r="D8" s="46" t="s">
        <v>1073</v>
      </c>
    </row>
    <row r="9" spans="4:4" ht="92.25">
      <c r="D9" s="50" t="s">
        <v>1074</v>
      </c>
    </row>
    <row r="10" spans="4:4" ht="33.75">
      <c r="D10" s="49" t="s">
        <v>1075</v>
      </c>
    </row>
    <row r="11" spans="4:4" ht="33.75">
      <c r="D11" s="46" t="s">
        <v>1076</v>
      </c>
    </row>
    <row r="12" spans="4:4" ht="33.75">
      <c r="D12" s="46" t="s">
        <v>1077</v>
      </c>
    </row>
    <row r="13" spans="4:4" ht="33.75">
      <c r="D13" s="48" t="s">
        <v>1078</v>
      </c>
    </row>
    <row r="14" spans="4:4" ht="33.75">
      <c r="D14" s="46" t="s">
        <v>1079</v>
      </c>
    </row>
    <row r="15" spans="4:4" ht="33.75">
      <c r="D15" s="47" t="s">
        <v>1080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32"/>
  <sheetViews>
    <sheetView topLeftCell="A20" zoomScaleNormal="100" workbookViewId="0">
      <selection activeCell="B21" sqref="B21"/>
    </sheetView>
  </sheetViews>
  <sheetFormatPr baseColWidth="10" defaultColWidth="11.42578125" defaultRowHeight="15"/>
  <cols>
    <col min="1" max="1" width="15" bestFit="1" customWidth="1"/>
    <col min="2" max="2" width="48.7109375" bestFit="1" customWidth="1"/>
    <col min="3" max="3" width="48.7109375" customWidth="1"/>
    <col min="4" max="4" width="11.42578125" customWidth="1"/>
    <col min="5" max="5" width="13.28515625" customWidth="1"/>
    <col min="6" max="6" width="12.28515625" bestFit="1" customWidth="1"/>
    <col min="7" max="7" width="23.5703125" customWidth="1"/>
    <col min="8" max="8" width="24.85546875" customWidth="1"/>
    <col min="9" max="9" width="17.7109375" customWidth="1"/>
    <col min="11" max="11" width="17.140625" customWidth="1"/>
    <col min="12" max="12" width="19.5703125" customWidth="1"/>
    <col min="13" max="13" width="37.28515625" customWidth="1"/>
    <col min="14" max="14" width="21.42578125" customWidth="1"/>
    <col min="21" max="21" width="19.42578125" bestFit="1" customWidth="1"/>
    <col min="23" max="23" width="26.28515625" customWidth="1"/>
  </cols>
  <sheetData>
    <row r="2" spans="1:28" ht="15.75" thickBot="1">
      <c r="A2" s="10" t="s">
        <v>1081</v>
      </c>
      <c r="B2" s="10" t="s">
        <v>1082</v>
      </c>
      <c r="C2" s="10" t="s">
        <v>1083</v>
      </c>
      <c r="D2" s="10" t="s">
        <v>1084</v>
      </c>
      <c r="E2" s="10" t="s">
        <v>1085</v>
      </c>
      <c r="F2" s="10" t="s">
        <v>1086</v>
      </c>
      <c r="G2" s="10" t="s">
        <v>1087</v>
      </c>
      <c r="H2" s="10" t="s">
        <v>1088</v>
      </c>
      <c r="I2" s="10" t="s">
        <v>1089</v>
      </c>
      <c r="K2" s="10" t="s">
        <v>1086</v>
      </c>
      <c r="L2" s="10" t="s">
        <v>1087</v>
      </c>
      <c r="M2" s="10" t="s">
        <v>1090</v>
      </c>
      <c r="P2" s="10" t="s">
        <v>1091</v>
      </c>
      <c r="S2" s="938" t="s">
        <v>1092</v>
      </c>
      <c r="T2" s="938"/>
      <c r="U2" s="938"/>
      <c r="V2" s="938"/>
      <c r="W2" t="s">
        <v>1093</v>
      </c>
      <c r="AA2" s="10" t="s">
        <v>1091</v>
      </c>
    </row>
    <row r="3" spans="1:28" ht="90" thickBot="1">
      <c r="A3" s="23" t="s">
        <v>1094</v>
      </c>
      <c r="B3" s="396" t="s">
        <v>1095</v>
      </c>
      <c r="C3" s="396" t="s">
        <v>1095</v>
      </c>
      <c r="D3" s="23" t="s">
        <v>278</v>
      </c>
      <c r="E3" s="23" t="s">
        <v>67</v>
      </c>
      <c r="F3" s="11" t="s">
        <v>1096</v>
      </c>
      <c r="G3" s="11" t="s">
        <v>640</v>
      </c>
      <c r="H3" t="s">
        <v>1097</v>
      </c>
      <c r="I3" t="s">
        <v>72</v>
      </c>
      <c r="K3" s="11" t="s">
        <v>412</v>
      </c>
      <c r="L3" s="11" t="s">
        <v>640</v>
      </c>
      <c r="M3" t="s">
        <v>1098</v>
      </c>
      <c r="N3" t="s">
        <v>1099</v>
      </c>
      <c r="P3" t="s">
        <v>1099</v>
      </c>
      <c r="Q3" t="s">
        <v>1100</v>
      </c>
      <c r="S3" t="s">
        <v>1101</v>
      </c>
      <c r="T3" t="s">
        <v>1101</v>
      </c>
      <c r="U3" t="str">
        <f>+CONCATENATE(S3,T3)</f>
        <v>FuerteFuerte</v>
      </c>
      <c r="V3" t="s">
        <v>1101</v>
      </c>
      <c r="W3" s="88" t="s">
        <v>1102</v>
      </c>
      <c r="X3" s="25"/>
      <c r="AA3" t="s">
        <v>1099</v>
      </c>
      <c r="AB3" t="s">
        <v>1100</v>
      </c>
    </row>
    <row r="4" spans="1:28" ht="115.5" thickBot="1">
      <c r="A4" s="23" t="s">
        <v>1094</v>
      </c>
      <c r="B4" s="396" t="s">
        <v>764</v>
      </c>
      <c r="C4" s="397" t="s">
        <v>1103</v>
      </c>
      <c r="D4" s="23" t="s">
        <v>221</v>
      </c>
      <c r="E4" s="23" t="s">
        <v>155</v>
      </c>
      <c r="F4" s="11" t="s">
        <v>180</v>
      </c>
      <c r="G4" s="11" t="s">
        <v>70</v>
      </c>
      <c r="H4" s="11" t="s">
        <v>1104</v>
      </c>
      <c r="I4" t="s">
        <v>1105</v>
      </c>
      <c r="K4" s="11" t="s">
        <v>180</v>
      </c>
      <c r="L4" s="11" t="s">
        <v>70</v>
      </c>
      <c r="M4" t="s">
        <v>1106</v>
      </c>
      <c r="N4" t="s">
        <v>1099</v>
      </c>
      <c r="P4" t="s">
        <v>89</v>
      </c>
      <c r="Q4" t="s">
        <v>1100</v>
      </c>
      <c r="S4" t="s">
        <v>1101</v>
      </c>
      <c r="T4" t="s">
        <v>89</v>
      </c>
      <c r="U4" t="str">
        <f t="shared" ref="U4:U11" si="0">+CONCATENATE(S4,T4)</f>
        <v>FuerteModerado</v>
      </c>
      <c r="V4" t="s">
        <v>89</v>
      </c>
      <c r="W4" s="88" t="s">
        <v>385</v>
      </c>
      <c r="AA4" t="s">
        <v>89</v>
      </c>
      <c r="AB4" t="s">
        <v>1107</v>
      </c>
    </row>
    <row r="5" spans="1:28" ht="273.75" thickBot="1">
      <c r="A5" s="23" t="s">
        <v>1094</v>
      </c>
      <c r="B5" s="396" t="s">
        <v>505</v>
      </c>
      <c r="C5" s="398" t="s">
        <v>1108</v>
      </c>
      <c r="D5" s="23" t="s">
        <v>64</v>
      </c>
      <c r="E5" s="23"/>
      <c r="F5" s="11" t="s">
        <v>1109</v>
      </c>
      <c r="G5" s="11" t="s">
        <v>89</v>
      </c>
      <c r="H5" t="s">
        <v>1110</v>
      </c>
      <c r="K5" s="11" t="s">
        <v>88</v>
      </c>
      <c r="L5" s="11" t="s">
        <v>89</v>
      </c>
      <c r="M5" t="s">
        <v>1111</v>
      </c>
      <c r="N5" t="s">
        <v>89</v>
      </c>
      <c r="P5" t="s">
        <v>1112</v>
      </c>
      <c r="Q5" t="s">
        <v>1113</v>
      </c>
      <c r="S5" t="s">
        <v>1101</v>
      </c>
      <c r="T5" t="s">
        <v>1114</v>
      </c>
      <c r="U5" t="str">
        <f t="shared" si="0"/>
        <v>FuerteDébil</v>
      </c>
      <c r="V5" t="s">
        <v>1114</v>
      </c>
      <c r="W5" s="88" t="s">
        <v>307</v>
      </c>
      <c r="AA5" t="s">
        <v>1112</v>
      </c>
      <c r="AB5" t="s">
        <v>1113</v>
      </c>
    </row>
    <row r="6" spans="1:28" ht="168.75" thickBot="1">
      <c r="A6" s="23" t="s">
        <v>1094</v>
      </c>
      <c r="B6" s="396" t="s">
        <v>744</v>
      </c>
      <c r="C6" s="398" t="s">
        <v>1115</v>
      </c>
      <c r="D6" s="23" t="s">
        <v>85</v>
      </c>
      <c r="E6" s="23"/>
      <c r="F6" s="11" t="s">
        <v>106</v>
      </c>
      <c r="G6" s="11" t="s">
        <v>326</v>
      </c>
      <c r="H6" t="s">
        <v>1116</v>
      </c>
      <c r="K6" s="11" t="s">
        <v>106</v>
      </c>
      <c r="L6" s="11" t="s">
        <v>326</v>
      </c>
      <c r="M6" t="s">
        <v>1117</v>
      </c>
      <c r="N6" t="s">
        <v>1112</v>
      </c>
      <c r="P6" t="s">
        <v>1118</v>
      </c>
      <c r="Q6" t="s">
        <v>1113</v>
      </c>
      <c r="S6" t="s">
        <v>89</v>
      </c>
      <c r="T6" t="s">
        <v>1101</v>
      </c>
      <c r="U6" t="str">
        <f t="shared" si="0"/>
        <v>ModeradoFuerte</v>
      </c>
      <c r="V6" t="s">
        <v>89</v>
      </c>
      <c r="W6" s="88" t="s">
        <v>541</v>
      </c>
      <c r="AA6" t="s">
        <v>1118</v>
      </c>
      <c r="AB6" t="s">
        <v>1119</v>
      </c>
    </row>
    <row r="7" spans="1:28" ht="153">
      <c r="A7" s="23" t="s">
        <v>1094</v>
      </c>
      <c r="B7" s="396" t="s">
        <v>704</v>
      </c>
      <c r="C7" s="398" t="s">
        <v>1120</v>
      </c>
      <c r="D7" s="23" t="s">
        <v>674</v>
      </c>
      <c r="E7" s="23"/>
      <c r="F7" s="11" t="s">
        <v>69</v>
      </c>
      <c r="G7" s="11" t="s">
        <v>107</v>
      </c>
      <c r="H7" s="11"/>
      <c r="K7" s="11" t="s">
        <v>69</v>
      </c>
      <c r="L7" s="11" t="s">
        <v>107</v>
      </c>
      <c r="M7" t="s">
        <v>1121</v>
      </c>
      <c r="N7" t="s">
        <v>1118</v>
      </c>
      <c r="S7" t="s">
        <v>89</v>
      </c>
      <c r="T7" t="s">
        <v>89</v>
      </c>
      <c r="U7" t="str">
        <f t="shared" si="0"/>
        <v>ModeradoModerado</v>
      </c>
      <c r="V7" t="s">
        <v>89</v>
      </c>
      <c r="W7" s="88" t="s">
        <v>570</v>
      </c>
    </row>
    <row r="8" spans="1:28" ht="63.75">
      <c r="A8" s="23" t="s">
        <v>1122</v>
      </c>
      <c r="B8" s="396" t="s">
        <v>275</v>
      </c>
      <c r="C8" s="396" t="s">
        <v>275</v>
      </c>
      <c r="D8" s="23" t="s">
        <v>767</v>
      </c>
      <c r="E8" s="23"/>
      <c r="K8" s="11" t="s">
        <v>412</v>
      </c>
      <c r="L8">
        <v>1</v>
      </c>
      <c r="M8" t="s">
        <v>1123</v>
      </c>
      <c r="N8" t="s">
        <v>1099</v>
      </c>
      <c r="S8" t="s">
        <v>89</v>
      </c>
      <c r="T8" t="s">
        <v>1114</v>
      </c>
      <c r="U8" t="str">
        <f t="shared" si="0"/>
        <v>ModeradoDébil</v>
      </c>
      <c r="V8" t="s">
        <v>1114</v>
      </c>
      <c r="W8" s="89" t="s">
        <v>279</v>
      </c>
    </row>
    <row r="9" spans="1:28" ht="252">
      <c r="A9" s="23" t="s">
        <v>1122</v>
      </c>
      <c r="B9" s="396" t="s">
        <v>452</v>
      </c>
      <c r="C9" s="399" t="s">
        <v>1124</v>
      </c>
      <c r="D9" s="23" t="s">
        <v>153</v>
      </c>
      <c r="E9" s="23"/>
      <c r="K9" s="11" t="s">
        <v>180</v>
      </c>
      <c r="L9">
        <v>2</v>
      </c>
      <c r="M9" t="s">
        <v>1125</v>
      </c>
      <c r="N9" t="s">
        <v>1099</v>
      </c>
      <c r="S9" t="s">
        <v>1114</v>
      </c>
      <c r="T9" t="s">
        <v>1101</v>
      </c>
      <c r="U9" t="str">
        <f t="shared" si="0"/>
        <v>DébilFuerte</v>
      </c>
      <c r="V9" t="s">
        <v>1114</v>
      </c>
      <c r="W9" s="89" t="s">
        <v>65</v>
      </c>
    </row>
    <row r="10" spans="1:28" ht="189">
      <c r="A10" s="23" t="s">
        <v>1122</v>
      </c>
      <c r="B10" s="396" t="s">
        <v>1126</v>
      </c>
      <c r="C10" s="399" t="s">
        <v>1127</v>
      </c>
      <c r="D10" s="23"/>
      <c r="E10" s="23"/>
      <c r="K10" s="11" t="s">
        <v>88</v>
      </c>
      <c r="L10">
        <v>3</v>
      </c>
      <c r="M10" t="s">
        <v>1128</v>
      </c>
      <c r="N10" t="s">
        <v>89</v>
      </c>
      <c r="S10" t="s">
        <v>1114</v>
      </c>
      <c r="T10" t="s">
        <v>89</v>
      </c>
      <c r="U10" t="str">
        <f t="shared" si="0"/>
        <v>DébilModerado</v>
      </c>
      <c r="V10" t="s">
        <v>1114</v>
      </c>
      <c r="W10" s="89" t="s">
        <v>409</v>
      </c>
    </row>
    <row r="11" spans="1:28" ht="21">
      <c r="A11" s="23" t="s">
        <v>1122</v>
      </c>
      <c r="B11" s="23" t="s">
        <v>347</v>
      </c>
      <c r="C11" s="23" t="s">
        <v>347</v>
      </c>
      <c r="D11" s="23"/>
      <c r="E11" s="23"/>
      <c r="K11" s="11" t="s">
        <v>106</v>
      </c>
      <c r="L11">
        <v>4</v>
      </c>
      <c r="M11" t="s">
        <v>1129</v>
      </c>
      <c r="N11" t="s">
        <v>1112</v>
      </c>
      <c r="S11" t="s">
        <v>1114</v>
      </c>
      <c r="T11" t="s">
        <v>1114</v>
      </c>
      <c r="U11" t="str">
        <f t="shared" si="0"/>
        <v>DébilDébil</v>
      </c>
      <c r="V11" t="s">
        <v>1114</v>
      </c>
    </row>
    <row r="12" spans="1:28" ht="210">
      <c r="A12" s="23" t="s">
        <v>1122</v>
      </c>
      <c r="B12" s="23" t="s">
        <v>304</v>
      </c>
      <c r="C12" s="24" t="s">
        <v>305</v>
      </c>
      <c r="D12" s="23"/>
      <c r="E12" s="23"/>
      <c r="K12" s="11" t="s">
        <v>69</v>
      </c>
      <c r="L12">
        <v>5</v>
      </c>
      <c r="M12" t="s">
        <v>1130</v>
      </c>
      <c r="N12" t="s">
        <v>1118</v>
      </c>
    </row>
    <row r="13" spans="1:28" ht="147">
      <c r="A13" s="23" t="s">
        <v>1131</v>
      </c>
      <c r="B13" s="23" t="s">
        <v>205</v>
      </c>
      <c r="C13" s="42" t="s">
        <v>1132</v>
      </c>
      <c r="D13" s="23"/>
      <c r="E13" s="23"/>
      <c r="K13" s="11" t="s">
        <v>640</v>
      </c>
      <c r="L13">
        <v>1</v>
      </c>
      <c r="M13" t="s">
        <v>1133</v>
      </c>
      <c r="N13" t="s">
        <v>1099</v>
      </c>
    </row>
    <row r="14" spans="1:28" ht="231">
      <c r="A14" s="23" t="s">
        <v>1131</v>
      </c>
      <c r="B14" s="23" t="s">
        <v>150</v>
      </c>
      <c r="C14" s="42" t="s">
        <v>1134</v>
      </c>
      <c r="D14" s="23"/>
      <c r="E14" s="23"/>
      <c r="K14" s="11" t="s">
        <v>70</v>
      </c>
      <c r="L14">
        <v>2</v>
      </c>
      <c r="M14" t="s">
        <v>1135</v>
      </c>
      <c r="N14" t="s">
        <v>89</v>
      </c>
    </row>
    <row r="15" spans="1:28" ht="231">
      <c r="A15" s="23" t="s">
        <v>1131</v>
      </c>
      <c r="B15" s="23" t="s">
        <v>646</v>
      </c>
      <c r="C15" s="42" t="s">
        <v>1136</v>
      </c>
      <c r="D15" s="23"/>
      <c r="E15" s="23"/>
      <c r="K15" s="11" t="s">
        <v>89</v>
      </c>
      <c r="L15">
        <v>3</v>
      </c>
      <c r="M15" t="s">
        <v>1137</v>
      </c>
      <c r="N15" t="s">
        <v>1112</v>
      </c>
    </row>
    <row r="16" spans="1:28" ht="210">
      <c r="A16" s="23" t="s">
        <v>1131</v>
      </c>
      <c r="B16" s="23" t="s">
        <v>101</v>
      </c>
      <c r="C16" s="42" t="s">
        <v>102</v>
      </c>
      <c r="D16" s="23"/>
      <c r="E16" s="23"/>
      <c r="K16" s="11" t="s">
        <v>326</v>
      </c>
      <c r="L16">
        <v>4</v>
      </c>
      <c r="M16" t="s">
        <v>1138</v>
      </c>
      <c r="N16" t="s">
        <v>1118</v>
      </c>
    </row>
    <row r="17" spans="1:14" ht="147">
      <c r="A17" s="23" t="s">
        <v>1131</v>
      </c>
      <c r="B17" s="23" t="s">
        <v>593</v>
      </c>
      <c r="C17" s="42" t="s">
        <v>1139</v>
      </c>
      <c r="D17" s="23"/>
      <c r="E17" s="23"/>
      <c r="K17" s="11" t="s">
        <v>107</v>
      </c>
      <c r="L17">
        <v>5</v>
      </c>
      <c r="M17" t="s">
        <v>1140</v>
      </c>
      <c r="N17" t="s">
        <v>1118</v>
      </c>
    </row>
    <row r="18" spans="1:14" ht="189">
      <c r="A18" s="23" t="s">
        <v>1131</v>
      </c>
      <c r="B18" s="23" t="s">
        <v>61</v>
      </c>
      <c r="C18" s="42" t="s">
        <v>1141</v>
      </c>
      <c r="D18" s="23"/>
      <c r="E18" s="23"/>
      <c r="J18">
        <v>-1</v>
      </c>
      <c r="K18" s="11" t="s">
        <v>412</v>
      </c>
      <c r="M18" t="s">
        <v>1142</v>
      </c>
      <c r="N18" t="s">
        <v>89</v>
      </c>
    </row>
    <row r="19" spans="1:14" ht="189">
      <c r="A19" s="23" t="s">
        <v>1094</v>
      </c>
      <c r="B19" s="23" t="s">
        <v>234</v>
      </c>
      <c r="C19" s="42" t="s">
        <v>1143</v>
      </c>
      <c r="D19" s="23"/>
      <c r="E19" s="23"/>
      <c r="J19">
        <v>0</v>
      </c>
      <c r="K19" s="11" t="s">
        <v>412</v>
      </c>
      <c r="M19" t="s">
        <v>1144</v>
      </c>
      <c r="N19" t="s">
        <v>1112</v>
      </c>
    </row>
    <row r="20" spans="1:14" ht="147">
      <c r="A20" s="23" t="s">
        <v>1090</v>
      </c>
      <c r="B20" s="23" t="s">
        <v>796</v>
      </c>
      <c r="C20" s="42" t="s">
        <v>1056</v>
      </c>
      <c r="D20" s="23"/>
      <c r="E20" s="23"/>
      <c r="J20">
        <v>1</v>
      </c>
      <c r="K20" s="11" t="s">
        <v>412</v>
      </c>
      <c r="M20" t="s">
        <v>1145</v>
      </c>
      <c r="N20" t="s">
        <v>1112</v>
      </c>
    </row>
    <row r="21" spans="1:14" ht="21">
      <c r="A21" s="23" t="s">
        <v>1090</v>
      </c>
      <c r="B21" s="23" t="s">
        <v>778</v>
      </c>
      <c r="J21">
        <v>2</v>
      </c>
      <c r="K21" s="11" t="s">
        <v>180</v>
      </c>
      <c r="M21" t="s">
        <v>1146</v>
      </c>
      <c r="N21" t="s">
        <v>1118</v>
      </c>
    </row>
    <row r="22" spans="1:14">
      <c r="J22">
        <v>3</v>
      </c>
      <c r="K22" s="11" t="s">
        <v>88</v>
      </c>
      <c r="M22" t="s">
        <v>1147</v>
      </c>
      <c r="N22" t="s">
        <v>1118</v>
      </c>
    </row>
    <row r="23" spans="1:14">
      <c r="J23">
        <v>4</v>
      </c>
      <c r="K23" s="11" t="s">
        <v>106</v>
      </c>
      <c r="M23" t="s">
        <v>1148</v>
      </c>
      <c r="N23" t="s">
        <v>1112</v>
      </c>
    </row>
    <row r="24" spans="1:14">
      <c r="J24">
        <v>5</v>
      </c>
      <c r="K24" s="11" t="s">
        <v>69</v>
      </c>
      <c r="M24" t="s">
        <v>1149</v>
      </c>
      <c r="N24" t="s">
        <v>1112</v>
      </c>
    </row>
    <row r="25" spans="1:14">
      <c r="B25" s="10" t="s">
        <v>1150</v>
      </c>
      <c r="C25" s="10" t="s">
        <v>1151</v>
      </c>
      <c r="E25" s="10" t="s">
        <v>12</v>
      </c>
      <c r="G25" s="10" t="s">
        <v>1152</v>
      </c>
      <c r="M25" t="s">
        <v>1153</v>
      </c>
      <c r="N25" t="s">
        <v>1118</v>
      </c>
    </row>
    <row r="26" spans="1:14">
      <c r="B26" t="s">
        <v>73</v>
      </c>
      <c r="C26" t="s">
        <v>74</v>
      </c>
      <c r="E26" t="s">
        <v>75</v>
      </c>
      <c r="G26" t="s">
        <v>72</v>
      </c>
      <c r="J26">
        <v>-1</v>
      </c>
      <c r="K26" s="11" t="s">
        <v>640</v>
      </c>
      <c r="M26" t="s">
        <v>1154</v>
      </c>
      <c r="N26" t="s">
        <v>1118</v>
      </c>
    </row>
    <row r="27" spans="1:14">
      <c r="B27" t="s">
        <v>869</v>
      </c>
      <c r="C27" t="s">
        <v>1155</v>
      </c>
      <c r="E27" t="s">
        <v>750</v>
      </c>
      <c r="G27" t="s">
        <v>83</v>
      </c>
      <c r="J27">
        <v>0</v>
      </c>
      <c r="K27" s="11" t="s">
        <v>640</v>
      </c>
      <c r="M27" t="s">
        <v>1156</v>
      </c>
      <c r="N27" t="s">
        <v>1118</v>
      </c>
    </row>
    <row r="28" spans="1:14">
      <c r="C28" t="s">
        <v>1157</v>
      </c>
      <c r="E28" t="s">
        <v>1158</v>
      </c>
      <c r="J28">
        <v>1</v>
      </c>
      <c r="K28" s="11" t="s">
        <v>640</v>
      </c>
    </row>
    <row r="29" spans="1:14">
      <c r="G29" t="s">
        <v>72</v>
      </c>
      <c r="J29">
        <v>2</v>
      </c>
      <c r="K29" s="11" t="s">
        <v>70</v>
      </c>
    </row>
    <row r="30" spans="1:14">
      <c r="G30" t="s">
        <v>1159</v>
      </c>
      <c r="J30">
        <v>3</v>
      </c>
      <c r="K30" s="11" t="s">
        <v>89</v>
      </c>
    </row>
    <row r="31" spans="1:14">
      <c r="J31">
        <v>4</v>
      </c>
      <c r="K31" s="11" t="s">
        <v>326</v>
      </c>
    </row>
    <row r="32" spans="1:14">
      <c r="J32">
        <v>5</v>
      </c>
      <c r="K32" s="11" t="s">
        <v>107</v>
      </c>
    </row>
  </sheetData>
  <sheetProtection selectLockedCells="1"/>
  <mergeCells count="1">
    <mergeCell ref="S2:V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C126"/>
  <sheetViews>
    <sheetView showGridLines="0" topLeftCell="AVR1" zoomScale="60" zoomScaleNormal="60" zoomScaleSheetLayoutView="50" workbookViewId="0">
      <selection activeCell="C6" sqref="C6"/>
    </sheetView>
  </sheetViews>
  <sheetFormatPr baseColWidth="10" defaultColWidth="11.42578125" defaultRowHeight="15"/>
  <cols>
    <col min="1" max="1" width="4.85546875" style="16" customWidth="1"/>
    <col min="2" max="2" width="33.5703125" style="15" customWidth="1"/>
    <col min="3" max="3" width="47" style="15" customWidth="1"/>
    <col min="4" max="7" width="28.85546875" style="17" customWidth="1"/>
    <col min="8" max="10" width="25.5703125" style="17" customWidth="1"/>
    <col min="11" max="11" width="27.28515625" style="17" customWidth="1"/>
    <col min="12" max="12" width="27.7109375" style="15" customWidth="1"/>
    <col min="13" max="13" width="10.85546875" style="18" customWidth="1"/>
    <col min="14" max="14" width="10.42578125" style="18" hidden="1" customWidth="1"/>
    <col min="15" max="15" width="12.42578125" style="18" customWidth="1"/>
    <col min="16" max="16" width="10.42578125" style="18" hidden="1" customWidth="1"/>
    <col min="17" max="17" width="10.140625" style="18" customWidth="1"/>
    <col min="18" max="18" width="17.140625" style="15" customWidth="1"/>
    <col min="19" max="19" width="36.28515625" style="18" customWidth="1"/>
    <col min="20" max="20" width="36" style="18" customWidth="1"/>
    <col min="21" max="22" width="52.7109375" style="15" customWidth="1"/>
    <col min="23" max="23" width="16.42578125" style="15" customWidth="1"/>
    <col min="24" max="24" width="20" style="15" customWidth="1"/>
    <col min="25" max="25" width="20" style="15" hidden="1" customWidth="1"/>
    <col min="26" max="26" width="22.85546875" style="15" customWidth="1"/>
    <col min="27" max="27" width="22.85546875" style="15" hidden="1" customWidth="1"/>
    <col min="28" max="28" width="28.140625" style="15" bestFit="1" customWidth="1"/>
    <col min="29" max="29" width="28.140625" style="15" hidden="1" customWidth="1"/>
    <col min="30" max="30" width="34.7109375" style="15" bestFit="1" customWidth="1"/>
    <col min="31" max="31" width="34.7109375" style="15" hidden="1" customWidth="1"/>
    <col min="32" max="32" width="24.140625" style="15" bestFit="1" customWidth="1"/>
    <col min="33" max="33" width="24.140625" style="15" hidden="1" customWidth="1"/>
    <col min="34" max="34" width="27.85546875" style="15" bestFit="1" customWidth="1"/>
    <col min="35" max="35" width="27.85546875" style="15" hidden="1" customWidth="1"/>
    <col min="36" max="36" width="23.85546875" style="15" bestFit="1" customWidth="1"/>
    <col min="37" max="37" width="23.85546875" style="15" hidden="1" customWidth="1"/>
    <col min="38" max="38" width="15.85546875" style="15" customWidth="1"/>
    <col min="39" max="39" width="18.5703125" style="15" customWidth="1"/>
    <col min="40" max="40" width="20.5703125" style="15" customWidth="1"/>
    <col min="41" max="41" width="20.5703125" style="15" hidden="1" customWidth="1"/>
    <col min="42" max="42" width="20.5703125" style="15" customWidth="1"/>
    <col min="43" max="43" width="20.5703125" style="15" hidden="1" customWidth="1"/>
    <col min="44" max="44" width="20.5703125" style="15" customWidth="1"/>
    <col min="45" max="45" width="20.5703125" style="15" hidden="1" customWidth="1"/>
    <col min="46" max="46" width="20.5703125" style="15" customWidth="1"/>
    <col min="47" max="48" width="20.5703125" style="15" hidden="1" customWidth="1"/>
    <col min="49" max="50" width="20.5703125" style="15" customWidth="1"/>
    <col min="51" max="53" width="15.5703125" style="15" customWidth="1"/>
    <col min="54" max="54" width="18.85546875" style="15" customWidth="1"/>
    <col min="55" max="56" width="15.5703125" style="15" customWidth="1"/>
    <col min="57" max="58" width="15.5703125" style="15" hidden="1" customWidth="1"/>
    <col min="59" max="59" width="22.28515625" style="18" customWidth="1"/>
    <col min="60" max="60" width="11.85546875" style="18" customWidth="1"/>
    <col min="61" max="61" width="19.42578125" style="15" customWidth="1"/>
    <col min="65" max="65" width="17.42578125" customWidth="1"/>
  </cols>
  <sheetData>
    <row r="1" spans="1:16383" s="14" customFormat="1" ht="45.75" customHeight="1">
      <c r="A1" s="961" t="s">
        <v>0</v>
      </c>
      <c r="B1" s="961"/>
      <c r="C1" s="961"/>
      <c r="D1" s="961"/>
      <c r="E1" s="961"/>
      <c r="F1" s="961"/>
      <c r="G1" s="961"/>
      <c r="H1" s="958" t="s">
        <v>1</v>
      </c>
      <c r="I1" s="958"/>
      <c r="J1" s="958"/>
      <c r="K1" s="958"/>
      <c r="L1" s="958"/>
      <c r="M1" s="958"/>
      <c r="N1" s="958"/>
      <c r="O1" s="958"/>
      <c r="P1" s="958"/>
      <c r="Q1" s="958"/>
      <c r="R1" s="958"/>
      <c r="S1" s="958"/>
      <c r="T1" s="958"/>
      <c r="U1" s="958"/>
      <c r="V1" s="958"/>
      <c r="W1" s="958"/>
      <c r="X1" s="958"/>
      <c r="Y1" s="958"/>
      <c r="Z1" s="958"/>
      <c r="AA1" s="958"/>
      <c r="AB1" s="958"/>
      <c r="AC1" s="958"/>
      <c r="AD1" s="958"/>
      <c r="AE1" s="958"/>
      <c r="AF1" s="958"/>
      <c r="AG1" s="958"/>
      <c r="AH1" s="958"/>
      <c r="AI1" s="958"/>
      <c r="AJ1" s="958"/>
      <c r="AK1" s="958"/>
      <c r="AL1" s="958"/>
      <c r="AM1" s="958"/>
      <c r="AN1" s="958"/>
      <c r="AO1" s="958"/>
      <c r="AP1" s="958"/>
      <c r="AQ1" s="958"/>
      <c r="AR1" s="958"/>
      <c r="AS1" s="958"/>
      <c r="AT1" s="958"/>
      <c r="AU1" s="958"/>
      <c r="AV1" s="958"/>
      <c r="AW1" s="958"/>
      <c r="AX1" s="958"/>
      <c r="AY1" s="958"/>
      <c r="AZ1" s="958"/>
      <c r="BA1" s="958"/>
      <c r="BB1" s="958"/>
      <c r="BC1" s="958"/>
      <c r="BD1" s="958"/>
      <c r="BE1" s="958"/>
      <c r="BF1" s="958"/>
      <c r="BG1" s="958"/>
      <c r="BH1" s="958"/>
      <c r="BI1" s="958"/>
      <c r="BJ1" s="400"/>
      <c r="BK1" s="400"/>
      <c r="BL1" s="400"/>
      <c r="BM1" s="400"/>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14" customFormat="1" ht="13.5" customHeight="1">
      <c r="A2" s="961"/>
      <c r="B2" s="961"/>
      <c r="C2" s="961"/>
      <c r="D2" s="961"/>
      <c r="E2" s="961"/>
      <c r="F2" s="961"/>
      <c r="G2" s="961"/>
      <c r="H2" s="958"/>
      <c r="I2" s="958"/>
      <c r="J2" s="958"/>
      <c r="K2" s="958"/>
      <c r="L2" s="958"/>
      <c r="M2" s="958"/>
      <c r="N2" s="958"/>
      <c r="O2" s="958"/>
      <c r="P2" s="958"/>
      <c r="Q2" s="958"/>
      <c r="R2" s="958"/>
      <c r="S2" s="958"/>
      <c r="T2" s="958"/>
      <c r="U2" s="958"/>
      <c r="V2" s="958"/>
      <c r="W2" s="958"/>
      <c r="X2" s="958"/>
      <c r="Y2" s="958"/>
      <c r="Z2" s="958"/>
      <c r="AA2" s="958"/>
      <c r="AB2" s="958"/>
      <c r="AC2" s="958"/>
      <c r="AD2" s="958"/>
      <c r="AE2" s="958"/>
      <c r="AF2" s="958"/>
      <c r="AG2" s="958"/>
      <c r="AH2" s="958"/>
      <c r="AI2" s="958"/>
      <c r="AJ2" s="958"/>
      <c r="AK2" s="958"/>
      <c r="AL2" s="958"/>
      <c r="AM2" s="958"/>
      <c r="AN2" s="958"/>
      <c r="AO2" s="958"/>
      <c r="AP2" s="958"/>
      <c r="AQ2" s="958"/>
      <c r="AR2" s="958"/>
      <c r="AS2" s="958"/>
      <c r="AT2" s="958"/>
      <c r="AU2" s="958"/>
      <c r="AV2" s="958"/>
      <c r="AW2" s="958"/>
      <c r="AX2" s="958"/>
      <c r="AY2" s="958"/>
      <c r="AZ2" s="958"/>
      <c r="BA2" s="958"/>
      <c r="BB2" s="958"/>
      <c r="BC2" s="958"/>
      <c r="BD2" s="958"/>
      <c r="BE2" s="958"/>
      <c r="BF2" s="958"/>
      <c r="BG2" s="958"/>
      <c r="BH2" s="958"/>
      <c r="BI2" s="958"/>
      <c r="BJ2" s="400"/>
      <c r="BK2" s="400"/>
      <c r="BL2" s="400"/>
      <c r="BM2" s="400"/>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20" customFormat="1" ht="33" customHeight="1" thickBot="1">
      <c r="A3" s="962"/>
      <c r="B3" s="962"/>
      <c r="C3" s="962"/>
      <c r="D3" s="962"/>
      <c r="E3" s="962"/>
      <c r="F3" s="962"/>
      <c r="G3" s="962"/>
      <c r="H3" s="959"/>
      <c r="I3" s="959"/>
      <c r="J3" s="959"/>
      <c r="K3" s="959"/>
      <c r="L3" s="959"/>
      <c r="M3" s="959"/>
      <c r="N3" s="959"/>
      <c r="O3" s="959"/>
      <c r="P3" s="959"/>
      <c r="Q3" s="959"/>
      <c r="R3" s="959"/>
      <c r="S3" s="959"/>
      <c r="T3" s="959"/>
      <c r="U3" s="959"/>
      <c r="V3" s="959"/>
      <c r="W3" s="959"/>
      <c r="X3" s="959"/>
      <c r="Y3" s="959"/>
      <c r="Z3" s="959"/>
      <c r="AA3" s="959"/>
      <c r="AB3" s="959"/>
      <c r="AC3" s="959"/>
      <c r="AD3" s="959"/>
      <c r="AE3" s="959"/>
      <c r="AF3" s="959"/>
      <c r="AG3" s="959"/>
      <c r="AH3" s="959"/>
      <c r="AI3" s="959"/>
      <c r="AJ3" s="959"/>
      <c r="AK3" s="959"/>
      <c r="AL3" s="959"/>
      <c r="AM3" s="959"/>
      <c r="AN3" s="959"/>
      <c r="AO3" s="959"/>
      <c r="AP3" s="959"/>
      <c r="AQ3" s="959"/>
      <c r="AR3" s="959"/>
      <c r="AS3" s="959"/>
      <c r="AT3" s="959"/>
      <c r="AU3" s="959"/>
      <c r="AV3" s="959"/>
      <c r="AW3" s="959"/>
      <c r="AX3" s="959"/>
      <c r="AY3" s="959"/>
      <c r="AZ3" s="959"/>
      <c r="BA3" s="959"/>
      <c r="BB3" s="959"/>
      <c r="BC3" s="959"/>
      <c r="BD3" s="959"/>
      <c r="BE3" s="959"/>
      <c r="BF3" s="959"/>
      <c r="BG3" s="959"/>
      <c r="BH3" s="959"/>
      <c r="BI3" s="959"/>
      <c r="BJ3" s="245"/>
      <c r="BK3" s="245"/>
      <c r="BL3" s="245"/>
      <c r="BM3" s="245"/>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ht="29.25" customHeight="1">
      <c r="A4" s="619" t="s">
        <v>2</v>
      </c>
      <c r="B4" s="620"/>
      <c r="C4" s="620"/>
      <c r="D4" s="620"/>
      <c r="E4" s="620"/>
      <c r="F4" s="620"/>
      <c r="G4" s="620"/>
      <c r="H4" s="620"/>
      <c r="I4" s="620"/>
      <c r="J4" s="620"/>
      <c r="K4" s="620"/>
      <c r="L4" s="908"/>
      <c r="M4" s="964"/>
      <c r="N4" s="620"/>
      <c r="O4" s="620"/>
      <c r="P4" s="620"/>
      <c r="Q4" s="620"/>
      <c r="R4" s="907" t="s">
        <v>5</v>
      </c>
      <c r="S4" s="51"/>
      <c r="T4" s="51"/>
      <c r="U4" s="620"/>
      <c r="V4" s="620"/>
      <c r="W4" s="620"/>
      <c r="X4" s="620"/>
      <c r="Y4" s="620"/>
      <c r="Z4" s="620"/>
      <c r="AA4" s="620"/>
      <c r="AB4" s="620"/>
      <c r="AC4" s="620"/>
      <c r="AD4" s="620"/>
      <c r="AE4" s="620"/>
      <c r="AF4" s="620"/>
      <c r="AG4" s="620"/>
      <c r="AH4" s="620"/>
      <c r="AI4" s="620"/>
      <c r="AJ4" s="620"/>
      <c r="AK4" s="620"/>
      <c r="AL4" s="620"/>
      <c r="AM4" s="620"/>
      <c r="AN4" s="620"/>
      <c r="AO4" s="620"/>
      <c r="AP4" s="620"/>
      <c r="AQ4" s="620"/>
      <c r="AR4" s="620"/>
      <c r="AS4" s="620"/>
      <c r="AT4" s="620"/>
      <c r="AU4" s="620"/>
      <c r="AV4" s="620"/>
      <c r="AW4" s="620"/>
      <c r="AX4" s="620"/>
      <c r="AY4" s="620"/>
      <c r="AZ4" s="620"/>
      <c r="BA4" s="620"/>
      <c r="BB4" s="620"/>
      <c r="BC4" s="620"/>
      <c r="BD4" s="620"/>
      <c r="BE4" s="620"/>
      <c r="BF4" s="620"/>
      <c r="BG4" s="620"/>
      <c r="BH4" s="620"/>
      <c r="BI4" s="620"/>
      <c r="BJ4" s="967" t="s">
        <v>6</v>
      </c>
      <c r="BK4" s="967"/>
      <c r="BL4" s="967"/>
      <c r="BM4" s="968"/>
    </row>
    <row r="5" spans="1:16383" ht="40.5" customHeight="1" thickBot="1">
      <c r="A5" s="621"/>
      <c r="B5" s="622"/>
      <c r="C5" s="622"/>
      <c r="D5" s="622"/>
      <c r="E5" s="622"/>
      <c r="F5" s="622"/>
      <c r="G5" s="622"/>
      <c r="H5" s="622"/>
      <c r="I5" s="622"/>
      <c r="J5" s="622"/>
      <c r="K5" s="622"/>
      <c r="L5" s="963"/>
      <c r="M5" s="618" t="s">
        <v>9</v>
      </c>
      <c r="N5" s="612"/>
      <c r="O5" s="612"/>
      <c r="P5" s="612"/>
      <c r="Q5" s="612"/>
      <c r="R5" s="612"/>
      <c r="S5" s="219"/>
      <c r="T5" s="219"/>
      <c r="U5" s="622" t="s">
        <v>10</v>
      </c>
      <c r="V5" s="622"/>
      <c r="W5" s="622"/>
      <c r="X5" s="622" t="s">
        <v>11</v>
      </c>
      <c r="Y5" s="622"/>
      <c r="Z5" s="622"/>
      <c r="AA5" s="622"/>
      <c r="AB5" s="622"/>
      <c r="AC5" s="622"/>
      <c r="AD5" s="622"/>
      <c r="AE5" s="622"/>
      <c r="AF5" s="622"/>
      <c r="AG5" s="622"/>
      <c r="AH5" s="622"/>
      <c r="AI5" s="622"/>
      <c r="AJ5" s="622"/>
      <c r="AK5" s="622"/>
      <c r="AL5" s="622"/>
      <c r="AM5" s="622"/>
      <c r="AN5" s="612" t="s">
        <v>12</v>
      </c>
      <c r="AO5" s="612"/>
      <c r="AP5" s="612"/>
      <c r="AQ5" s="612"/>
      <c r="AR5" s="612"/>
      <c r="AS5" s="612"/>
      <c r="AT5" s="612"/>
      <c r="AU5" s="612"/>
      <c r="AV5" s="612"/>
      <c r="AW5" s="612"/>
      <c r="AX5" s="219"/>
      <c r="AY5" s="612" t="s">
        <v>13</v>
      </c>
      <c r="AZ5" s="612"/>
      <c r="BA5" s="612" t="s">
        <v>14</v>
      </c>
      <c r="BB5" s="612"/>
      <c r="BC5" s="219"/>
      <c r="BD5" s="219"/>
      <c r="BE5" s="219"/>
      <c r="BF5" s="219"/>
      <c r="BG5" s="612" t="s">
        <v>15</v>
      </c>
      <c r="BH5" s="612"/>
      <c r="BI5" s="612"/>
      <c r="BJ5" s="969"/>
      <c r="BK5" s="969"/>
      <c r="BL5" s="969"/>
      <c r="BM5" s="970"/>
    </row>
    <row r="6" spans="1:16383" ht="108" customHeight="1" thickBot="1">
      <c r="A6" s="59" t="s">
        <v>16</v>
      </c>
      <c r="B6" s="60" t="s">
        <v>17</v>
      </c>
      <c r="C6" s="60" t="s">
        <v>18</v>
      </c>
      <c r="D6" s="60" t="s">
        <v>1160</v>
      </c>
      <c r="E6" s="60" t="s">
        <v>1161</v>
      </c>
      <c r="F6" s="60" t="s">
        <v>1162</v>
      </c>
      <c r="G6" s="60" t="s">
        <v>1163</v>
      </c>
      <c r="H6" s="60" t="s">
        <v>1164</v>
      </c>
      <c r="I6" s="60" t="s">
        <v>1165</v>
      </c>
      <c r="J6" s="60" t="s">
        <v>1166</v>
      </c>
      <c r="K6" s="60" t="s">
        <v>1167</v>
      </c>
      <c r="L6" s="60" t="s">
        <v>24</v>
      </c>
      <c r="M6" s="61" t="s">
        <v>25</v>
      </c>
      <c r="N6" s="61"/>
      <c r="O6" s="61" t="s">
        <v>26</v>
      </c>
      <c r="P6" s="61"/>
      <c r="Q6" s="61" t="s">
        <v>27</v>
      </c>
      <c r="R6" s="60" t="s">
        <v>48</v>
      </c>
      <c r="S6" s="60" t="s">
        <v>1168</v>
      </c>
      <c r="T6" s="60" t="s">
        <v>10</v>
      </c>
      <c r="U6" s="60" t="s">
        <v>28</v>
      </c>
      <c r="V6" s="60" t="s">
        <v>1169</v>
      </c>
      <c r="W6" s="60" t="s">
        <v>30</v>
      </c>
      <c r="X6" s="60" t="s">
        <v>31</v>
      </c>
      <c r="Y6" s="60"/>
      <c r="Z6" s="60" t="s">
        <v>32</v>
      </c>
      <c r="AA6" s="60"/>
      <c r="AB6" s="60" t="s">
        <v>33</v>
      </c>
      <c r="AC6" s="60"/>
      <c r="AD6" s="60" t="s">
        <v>34</v>
      </c>
      <c r="AE6" s="60"/>
      <c r="AF6" s="60" t="s">
        <v>35</v>
      </c>
      <c r="AG6" s="60"/>
      <c r="AH6" s="60" t="s">
        <v>36</v>
      </c>
      <c r="AI6" s="60"/>
      <c r="AJ6" s="60" t="s">
        <v>37</v>
      </c>
      <c r="AK6" s="60"/>
      <c r="AL6" s="60" t="s">
        <v>38</v>
      </c>
      <c r="AM6" s="60" t="s">
        <v>39</v>
      </c>
      <c r="AN6" s="60" t="s">
        <v>1170</v>
      </c>
      <c r="AO6" s="60"/>
      <c r="AP6" s="60" t="s">
        <v>1171</v>
      </c>
      <c r="AQ6" s="60"/>
      <c r="AR6" s="60" t="s">
        <v>1172</v>
      </c>
      <c r="AS6" s="60"/>
      <c r="AT6" s="60" t="s">
        <v>1173</v>
      </c>
      <c r="AU6" s="60"/>
      <c r="AV6" s="60"/>
      <c r="AW6" s="60" t="s">
        <v>1174</v>
      </c>
      <c r="AX6" s="60" t="s">
        <v>41</v>
      </c>
      <c r="AY6" s="60" t="s">
        <v>42</v>
      </c>
      <c r="AZ6" s="60" t="s">
        <v>43</v>
      </c>
      <c r="BA6" s="60" t="s">
        <v>44</v>
      </c>
      <c r="BB6" s="60" t="s">
        <v>45</v>
      </c>
      <c r="BC6" s="60" t="s">
        <v>46</v>
      </c>
      <c r="BD6" s="60" t="s">
        <v>47</v>
      </c>
      <c r="BE6" s="60"/>
      <c r="BF6" s="60"/>
      <c r="BG6" s="60" t="s">
        <v>25</v>
      </c>
      <c r="BH6" s="60" t="s">
        <v>26</v>
      </c>
      <c r="BI6" s="60" t="s">
        <v>27</v>
      </c>
      <c r="BJ6" s="60" t="s">
        <v>1175</v>
      </c>
      <c r="BK6" s="60" t="s">
        <v>1176</v>
      </c>
      <c r="BL6" s="60" t="s">
        <v>1177</v>
      </c>
      <c r="BM6" s="62" t="s">
        <v>1178</v>
      </c>
    </row>
    <row r="7" spans="1:16383" ht="65.099999999999994" customHeight="1">
      <c r="A7" s="955">
        <v>1</v>
      </c>
      <c r="B7" s="956"/>
      <c r="C7" s="957" t="str">
        <f>IFERROR(VLOOKUP(B7,Listados!B$3:C$20,2,FALSE),"")</f>
        <v/>
      </c>
      <c r="D7" s="43"/>
      <c r="E7" s="43"/>
      <c r="F7" s="965"/>
      <c r="G7" s="965"/>
      <c r="H7" s="28"/>
      <c r="I7" s="28"/>
      <c r="J7" s="28"/>
      <c r="K7" s="29"/>
      <c r="L7" s="30"/>
      <c r="M7" s="956"/>
      <c r="N7" s="966" t="e">
        <f>+VLOOKUP(M7,Listados!$K$8:$L$12,2,0)</f>
        <v>#N/A</v>
      </c>
      <c r="O7" s="972"/>
      <c r="P7" s="966" t="e">
        <f>+VLOOKUP(O7,Listados!$K$13:$L$17,2,0)</f>
        <v>#N/A</v>
      </c>
      <c r="Q7" s="557" t="str">
        <f>IF(AND(M7&lt;&gt;"",O7&lt;&gt;""),VLOOKUP(M7&amp;O7,Listados!$M$3:$N$27,2,FALSE),"")</f>
        <v/>
      </c>
      <c r="R7" s="557" t="e">
        <f>+VLOOKUP(Q7,Listados!$P$3:$Q$6,2,FALSE)</f>
        <v>#N/A</v>
      </c>
      <c r="S7" s="44"/>
      <c r="T7" s="44"/>
      <c r="U7" s="54" t="s">
        <v>1179</v>
      </c>
      <c r="V7" s="54"/>
      <c r="W7" s="55"/>
      <c r="X7" s="44"/>
      <c r="Y7" s="44"/>
      <c r="Z7" s="44"/>
      <c r="AA7" s="44"/>
      <c r="AB7" s="44"/>
      <c r="AC7" s="44"/>
      <c r="AD7" s="44"/>
      <c r="AE7" s="44"/>
      <c r="AF7" s="44"/>
      <c r="AG7" s="44"/>
      <c r="AH7" s="44"/>
      <c r="AI7" s="44"/>
      <c r="AJ7" s="44"/>
      <c r="AK7" s="53" t="str">
        <f>+IF(AJ7="Completa",10,IF(AJ7="Incompleta",5,""))</f>
        <v/>
      </c>
      <c r="AL7" s="52" t="str">
        <f>IF((SUM(Y7,AA7,AC7,AE7,AG7,AI7,AK7)=0),"",(SUM(Y7,AA7,AC7,AE7,AG7,AI7,AK7)))</f>
        <v/>
      </c>
      <c r="AM7" s="52" t="str">
        <f>IF(AL7&lt;=85,"Débil",IF(AL7&lt;=95,"Moderado",IF(AL7=100,"Fuerte","")))</f>
        <v/>
      </c>
      <c r="AN7" s="56"/>
      <c r="AO7" s="56"/>
      <c r="AP7" s="56"/>
      <c r="AQ7" s="56"/>
      <c r="AR7" s="56"/>
      <c r="AS7" s="56"/>
      <c r="AT7" s="56"/>
      <c r="AU7" s="57" t="str">
        <f>IFERROR(VLOOKUP(AT7,'Seguridad Información'!$I$61:$J$65,2,0),"")</f>
        <v/>
      </c>
      <c r="AV7" s="57"/>
      <c r="AW7" s="19" t="str">
        <f>IFERROR(AVERAGE(AO7,AQ7,AS7,AU7),"")</f>
        <v/>
      </c>
      <c r="AX7" s="52" t="str">
        <f>IF(AW7&lt;=80,"Débil",IF(AW7&lt;=90,"Moderado",IF(AW7=100,"Fuerte","")))</f>
        <v/>
      </c>
      <c r="AY7" s="19" t="str">
        <f>IFERROR(VLOOKUP((CONCATENATE(AM7,AX7)),Listados!$U$3:$V$11,2,FALSE),"")</f>
        <v/>
      </c>
      <c r="AZ7" s="52">
        <f>IF(ISBLANK(AY7),"",IF(AY7="Débil", 0, IF(AY7="Moderado",50,100)))</f>
        <v>100</v>
      </c>
      <c r="BA7" s="960">
        <f>AVERAGE(AZ7:AZ12)</f>
        <v>100</v>
      </c>
      <c r="BB7" s="960" t="str">
        <f>IF(BA7&lt;=50, "Débil", IF(BA7&lt;=99,"Moderado","Fuerte"))</f>
        <v>Fuerte</v>
      </c>
      <c r="BC7" s="58">
        <f>+IF(AND(W7="Preventivo",BB7="Fuerte"),2,IF(AND(W7="Preventivo",BB7="Moderado"),1,0))</f>
        <v>0</v>
      </c>
      <c r="BD7" s="58">
        <f>+IF(AND(W7="Detectivo/Correctivo",$BB7="Fuerte"),2,IF(AND(W7="Detectivo/Correctivo",$BB7="Moderado"),1,IF(AND(W7="Preventivo",$BB7="Fuerte"),1,0)))</f>
        <v>0</v>
      </c>
      <c r="BE7" s="58" t="e">
        <f>+N7-BC7</f>
        <v>#N/A</v>
      </c>
      <c r="BF7" s="58" t="e">
        <f>+P7-BD7</f>
        <v>#N/A</v>
      </c>
      <c r="BG7" s="557" t="e">
        <f>+VLOOKUP(MIN(BE7,BE8,BE9,BE10,BE11,BE12),Listados!$J$18:$K$24,2,TRUE)</f>
        <v>#N/A</v>
      </c>
      <c r="BH7" s="557" t="e">
        <f>+VLOOKUP(MIN(BF7,BF8,BF9,BF10,BF11,BF12),Listados!$J$26:$K$32,2,TRUE)</f>
        <v>#N/A</v>
      </c>
      <c r="BI7" s="557" t="e">
        <f>IF(AND(BG7&lt;&gt;"",BH7&lt;&gt;""),VLOOKUP(BG7&amp;BH7,Listados!$M$3:$N$27,2,FALSE),"")</f>
        <v>#N/A</v>
      </c>
      <c r="BJ7" s="555" t="e">
        <f>+IF($R7="Asumir el riesgo","NA","")</f>
        <v>#N/A</v>
      </c>
      <c r="BK7" s="555" t="e">
        <f>+IF($R7="Asumir el riesgo","NA","")</f>
        <v>#N/A</v>
      </c>
      <c r="BL7" s="555" t="e">
        <f>+IF($R7="Asumir el riesgo","NA","")</f>
        <v>#N/A</v>
      </c>
      <c r="BM7" s="941" t="e">
        <f>+IF($R7="Asumir el riesgo","NA","")</f>
        <v>#N/A</v>
      </c>
    </row>
    <row r="8" spans="1:16383" ht="65.099999999999994" customHeight="1">
      <c r="A8" s="953"/>
      <c r="B8" s="689"/>
      <c r="C8" s="686"/>
      <c r="D8" s="401"/>
      <c r="E8" s="401"/>
      <c r="F8" s="948"/>
      <c r="G8" s="948"/>
      <c r="H8" s="375"/>
      <c r="I8" s="375"/>
      <c r="J8" s="375"/>
      <c r="K8" s="402"/>
      <c r="L8" s="403"/>
      <c r="M8" s="689"/>
      <c r="N8" s="943"/>
      <c r="O8" s="945"/>
      <c r="P8" s="943"/>
      <c r="Q8" s="565"/>
      <c r="R8" s="565"/>
      <c r="S8" s="332"/>
      <c r="T8" s="332"/>
      <c r="U8" s="347" t="s">
        <v>1179</v>
      </c>
      <c r="V8" s="347"/>
      <c r="W8" s="348"/>
      <c r="X8" s="332"/>
      <c r="Y8" s="332"/>
      <c r="Z8" s="332"/>
      <c r="AA8" s="332"/>
      <c r="AB8" s="332"/>
      <c r="AC8" s="332"/>
      <c r="AD8" s="332"/>
      <c r="AE8" s="332"/>
      <c r="AF8" s="332"/>
      <c r="AG8" s="332"/>
      <c r="AH8" s="332"/>
      <c r="AI8" s="332"/>
      <c r="AJ8" s="332"/>
      <c r="AK8" s="333" t="str">
        <f t="shared" ref="AK8:AK71" si="0">+IF(AJ8="Completa",10,IF(AJ8="Incompleta",5,""))</f>
        <v/>
      </c>
      <c r="AL8" s="404" t="str">
        <f>IF((SUM(Y8,AA8,AC8,AE8,AG8,AI8,AK8)=0),"",(SUM(Y8,AA8,AC8,AE8,AG8,AI8,AK8)))</f>
        <v/>
      </c>
      <c r="AM8" s="404" t="str">
        <f>IF(AL8&lt;=85,"Débil",IF(AL8&lt;=95,"Moderado",IF(AL8=100,"Fuerte","")))</f>
        <v/>
      </c>
      <c r="AN8" s="405"/>
      <c r="AO8" s="405"/>
      <c r="AP8" s="405"/>
      <c r="AQ8" s="405"/>
      <c r="AR8" s="405"/>
      <c r="AS8" s="405"/>
      <c r="AT8" s="405"/>
      <c r="AU8" s="400" t="str">
        <f>IFERROR(VLOOKUP(AT8,'Seguridad Información'!$I$61:$J$65,2,0),"")</f>
        <v/>
      </c>
      <c r="AV8" s="400"/>
      <c r="AW8" s="406" t="str">
        <f t="shared" ref="AW8:AW70" si="1">IFERROR(AVERAGE(AO8,AQ8,AS8,AU8),"")</f>
        <v/>
      </c>
      <c r="AX8" s="404" t="str">
        <f t="shared" ref="AX8:AX71" si="2">IF(AW8&lt;=80,"Débil",IF(AW8&lt;=90,"Moderado",IF(AW8=100,"Fuerte","")))</f>
        <v/>
      </c>
      <c r="AY8" s="406" t="str">
        <f>IFERROR(VLOOKUP((CONCATENATE(AM8,AX8)),Listados!$U$3:$V$11,2,FALSE),"")</f>
        <v/>
      </c>
      <c r="AZ8" s="404">
        <f>IF(ISBLANK(AY8),"",IF(AY8="Débil", 0, IF(AY8="Moderado",50,100)))</f>
        <v>100</v>
      </c>
      <c r="BA8" s="942"/>
      <c r="BB8" s="942"/>
      <c r="BC8" s="407">
        <f>+IF(AND(W8="Preventivo",BB7="Fuerte"),2,IF(AND(W8="Preventivo",BB7="Moderado"),1,0))</f>
        <v>0</v>
      </c>
      <c r="BD8" s="407">
        <f>+IF(AND(W8="Detectivo/Correctivo",$BB7="Fuerte"),2,IF(AND(W8="Detectivo/Correctivo",$BB8="Moderado"),1,IF(AND(W8="Preventivo",$BB7="Fuerte"),1,0)))</f>
        <v>0</v>
      </c>
      <c r="BE8" s="407" t="e">
        <f>+N7-BC8</f>
        <v>#N/A</v>
      </c>
      <c r="BF8" s="407" t="e">
        <f>+P7-BD8</f>
        <v>#N/A</v>
      </c>
      <c r="BG8" s="565"/>
      <c r="BH8" s="565"/>
      <c r="BI8" s="565"/>
      <c r="BJ8" s="573"/>
      <c r="BK8" s="573"/>
      <c r="BL8" s="573"/>
      <c r="BM8" s="939"/>
    </row>
    <row r="9" spans="1:16383" ht="65.099999999999994" customHeight="1">
      <c r="A9" s="953"/>
      <c r="B9" s="689"/>
      <c r="C9" s="686"/>
      <c r="D9" s="401"/>
      <c r="E9" s="401"/>
      <c r="F9" s="948"/>
      <c r="G9" s="948"/>
      <c r="H9" s="375"/>
      <c r="I9" s="375"/>
      <c r="J9" s="375"/>
      <c r="K9" s="402"/>
      <c r="L9" s="403"/>
      <c r="M9" s="689"/>
      <c r="N9" s="943"/>
      <c r="O9" s="945"/>
      <c r="P9" s="943"/>
      <c r="Q9" s="565"/>
      <c r="R9" s="565"/>
      <c r="S9" s="332"/>
      <c r="T9" s="332"/>
      <c r="U9" s="347" t="s">
        <v>1179</v>
      </c>
      <c r="V9" s="347"/>
      <c r="W9" s="348"/>
      <c r="X9" s="332"/>
      <c r="Y9" s="332" t="str">
        <f t="shared" ref="Y9:Y71" si="3">+IF(X9="si",15,"")</f>
        <v/>
      </c>
      <c r="Z9" s="332"/>
      <c r="AA9" s="332" t="str">
        <f t="shared" ref="AA9:AA71" si="4">+IF(Z9="si",15,"")</f>
        <v/>
      </c>
      <c r="AB9" s="332"/>
      <c r="AC9" s="332" t="str">
        <f t="shared" ref="AC9:AC71" si="5">+IF(AB9="si",15,"")</f>
        <v/>
      </c>
      <c r="AD9" s="332"/>
      <c r="AE9" s="332" t="str">
        <f t="shared" ref="AE9:AE71" si="6">+IF(AD9="si",15,"")</f>
        <v/>
      </c>
      <c r="AF9" s="332"/>
      <c r="AG9" s="332" t="str">
        <f t="shared" ref="AG9:AG71" si="7">+IF(AF9="si",15,"")</f>
        <v/>
      </c>
      <c r="AH9" s="332"/>
      <c r="AI9" s="332" t="str">
        <f t="shared" ref="AI9:AI71" si="8">+IF(AH9="si",15,"")</f>
        <v/>
      </c>
      <c r="AJ9" s="332"/>
      <c r="AK9" s="333" t="str">
        <f t="shared" si="0"/>
        <v/>
      </c>
      <c r="AL9" s="404" t="str">
        <f>IF((SUM(Y9,AA9,AC9,AE9,AG9,AI9,AK9)=0),"",(SUM(Y9,AA9,AC9,AE9,AG9,AI9,AK9)))</f>
        <v/>
      </c>
      <c r="AM9" s="404" t="str">
        <f t="shared" ref="AM9:AM71" si="9">IF(AL9&lt;=85,"Débil",IF(AL9&lt;=95,"Moderado",IF(AL9=100,"Fuerte","")))</f>
        <v/>
      </c>
      <c r="AN9" s="405"/>
      <c r="AO9" s="405"/>
      <c r="AP9" s="405"/>
      <c r="AQ9" s="405"/>
      <c r="AR9" s="405"/>
      <c r="AS9" s="405"/>
      <c r="AT9" s="405"/>
      <c r="AU9" s="400" t="str">
        <f>IFERROR(VLOOKUP(AT9,'Seguridad Información'!$I$61:$J$65,2,0),"")</f>
        <v/>
      </c>
      <c r="AV9" s="400"/>
      <c r="AW9" s="406" t="str">
        <f t="shared" si="1"/>
        <v/>
      </c>
      <c r="AX9" s="404" t="str">
        <f t="shared" si="2"/>
        <v/>
      </c>
      <c r="AY9" s="406" t="str">
        <f>IFERROR(VLOOKUP((CONCATENATE(AM9,AX9)),Listados!$U$3:$V$11,2,FALSE),"")</f>
        <v/>
      </c>
      <c r="AZ9" s="404">
        <f t="shared" ref="AZ9:AZ72" si="10">IF(ISBLANK(AY9),"",IF(AY9="Débil", 0, IF(AY9="Moderado",50,100)))</f>
        <v>100</v>
      </c>
      <c r="BA9" s="942"/>
      <c r="BB9" s="942"/>
      <c r="BC9" s="407">
        <f>+IF(AND(W9="Preventivo",BB7="Fuerte"),2,IF(AND(W9="Preventivo",BB7="Moderado"),1,0))</f>
        <v>0</v>
      </c>
      <c r="BD9" s="407">
        <f>+IF(AND(W9="Detectivo/Correctivo",$BB7="Fuerte"),2,IF(AND(W9="Detectivo/Correctivo",$BB9="Moderado"),1,IF(AND(W9="Preventivo",$BB7="Fuerte"),1,0)))</f>
        <v>0</v>
      </c>
      <c r="BE9" s="407" t="e">
        <f>+N7-BC9</f>
        <v>#N/A</v>
      </c>
      <c r="BF9" s="407" t="e">
        <f>+P7-BD9</f>
        <v>#N/A</v>
      </c>
      <c r="BG9" s="565"/>
      <c r="BH9" s="565"/>
      <c r="BI9" s="565"/>
      <c r="BJ9" s="573"/>
      <c r="BK9" s="573"/>
      <c r="BL9" s="573"/>
      <c r="BM9" s="939"/>
    </row>
    <row r="10" spans="1:16383" ht="65.099999999999994" customHeight="1">
      <c r="A10" s="953"/>
      <c r="B10" s="689"/>
      <c r="C10" s="686"/>
      <c r="D10" s="401"/>
      <c r="E10" s="401"/>
      <c r="F10" s="948"/>
      <c r="G10" s="948"/>
      <c r="H10" s="375"/>
      <c r="I10" s="375"/>
      <c r="J10" s="375"/>
      <c r="K10" s="402"/>
      <c r="L10" s="403"/>
      <c r="M10" s="689"/>
      <c r="N10" s="943"/>
      <c r="O10" s="945"/>
      <c r="P10" s="943"/>
      <c r="Q10" s="565"/>
      <c r="R10" s="565"/>
      <c r="S10" s="332"/>
      <c r="T10" s="332"/>
      <c r="U10" s="347" t="s">
        <v>1179</v>
      </c>
      <c r="V10" s="347"/>
      <c r="W10" s="348"/>
      <c r="X10" s="332"/>
      <c r="Y10" s="332" t="str">
        <f t="shared" si="3"/>
        <v/>
      </c>
      <c r="Z10" s="332"/>
      <c r="AA10" s="332" t="str">
        <f t="shared" si="4"/>
        <v/>
      </c>
      <c r="AB10" s="332"/>
      <c r="AC10" s="332" t="str">
        <f t="shared" si="5"/>
        <v/>
      </c>
      <c r="AD10" s="332"/>
      <c r="AE10" s="332" t="str">
        <f t="shared" si="6"/>
        <v/>
      </c>
      <c r="AF10" s="332"/>
      <c r="AG10" s="332" t="str">
        <f t="shared" si="7"/>
        <v/>
      </c>
      <c r="AH10" s="332"/>
      <c r="AI10" s="332" t="str">
        <f t="shared" si="8"/>
        <v/>
      </c>
      <c r="AJ10" s="332"/>
      <c r="AK10" s="333" t="str">
        <f t="shared" si="0"/>
        <v/>
      </c>
      <c r="AL10" s="404" t="str">
        <f t="shared" ref="AL10:AL71" si="11">IF((SUM(Y10,AA10,AC10,AE10,AG10,AI10,AK10)=0),"",(SUM(Y10,AA10,AC10,AE10,AG10,AI10,AK10)))</f>
        <v/>
      </c>
      <c r="AM10" s="404" t="str">
        <f t="shared" si="9"/>
        <v/>
      </c>
      <c r="AN10" s="405"/>
      <c r="AO10" s="405"/>
      <c r="AP10" s="405"/>
      <c r="AQ10" s="405"/>
      <c r="AR10" s="405"/>
      <c r="AS10" s="405"/>
      <c r="AT10" s="405"/>
      <c r="AU10" s="400" t="str">
        <f>IFERROR(VLOOKUP(AT10,'Seguridad Información'!$I$61:$J$65,2,0),"")</f>
        <v/>
      </c>
      <c r="AV10" s="400"/>
      <c r="AW10" s="406" t="str">
        <f t="shared" si="1"/>
        <v/>
      </c>
      <c r="AX10" s="404" t="str">
        <f t="shared" si="2"/>
        <v/>
      </c>
      <c r="AY10" s="406" t="str">
        <f>IFERROR(VLOOKUP((CONCATENATE(AM10,AX10)),Listados!$U$3:$V$11,2,FALSE),"")</f>
        <v/>
      </c>
      <c r="AZ10" s="404">
        <f t="shared" si="10"/>
        <v>100</v>
      </c>
      <c r="BA10" s="942"/>
      <c r="BB10" s="942"/>
      <c r="BC10" s="407">
        <f>+IF(AND(W10="Preventivo",BB7="Fuerte"),2,IF(AND(W10="Preventivo",BB7="Moderado"),1,0))</f>
        <v>0</v>
      </c>
      <c r="BD10" s="407">
        <f>+IF(AND(W10="Detectivo/Correctivo",$BB7="Fuerte"),2,IF(AND(W10="Detectivo/Correctivo",$BB10="Moderado"),1,IF(AND(W10="Preventivo",$BB7="Fuerte"),1,0)))</f>
        <v>0</v>
      </c>
      <c r="BE10" s="407" t="e">
        <f>+N7-BC10</f>
        <v>#N/A</v>
      </c>
      <c r="BF10" s="407" t="e">
        <f>+P7-BD10</f>
        <v>#N/A</v>
      </c>
      <c r="BG10" s="565"/>
      <c r="BH10" s="565"/>
      <c r="BI10" s="565"/>
      <c r="BJ10" s="573"/>
      <c r="BK10" s="573"/>
      <c r="BL10" s="573"/>
      <c r="BM10" s="939"/>
    </row>
    <row r="11" spans="1:16383" ht="65.099999999999994" customHeight="1">
      <c r="A11" s="953"/>
      <c r="B11" s="689"/>
      <c r="C11" s="686"/>
      <c r="D11" s="401"/>
      <c r="E11" s="401"/>
      <c r="F11" s="948"/>
      <c r="G11" s="948"/>
      <c r="H11" s="375"/>
      <c r="I11" s="375"/>
      <c r="J11" s="375"/>
      <c r="K11" s="402"/>
      <c r="L11" s="403"/>
      <c r="M11" s="689"/>
      <c r="N11" s="943"/>
      <c r="O11" s="945"/>
      <c r="P11" s="943"/>
      <c r="Q11" s="565"/>
      <c r="R11" s="565"/>
      <c r="S11" s="332"/>
      <c r="T11" s="332"/>
      <c r="U11" s="347" t="s">
        <v>1179</v>
      </c>
      <c r="V11" s="347"/>
      <c r="W11" s="348"/>
      <c r="X11" s="332"/>
      <c r="Y11" s="332" t="str">
        <f t="shared" si="3"/>
        <v/>
      </c>
      <c r="Z11" s="332"/>
      <c r="AA11" s="332" t="str">
        <f t="shared" si="4"/>
        <v/>
      </c>
      <c r="AB11" s="332"/>
      <c r="AC11" s="332" t="str">
        <f t="shared" si="5"/>
        <v/>
      </c>
      <c r="AD11" s="332"/>
      <c r="AE11" s="332" t="str">
        <f t="shared" si="6"/>
        <v/>
      </c>
      <c r="AF11" s="332"/>
      <c r="AG11" s="332" t="str">
        <f t="shared" si="7"/>
        <v/>
      </c>
      <c r="AH11" s="332"/>
      <c r="AI11" s="332" t="str">
        <f t="shared" si="8"/>
        <v/>
      </c>
      <c r="AJ11" s="332"/>
      <c r="AK11" s="333" t="str">
        <f t="shared" si="0"/>
        <v/>
      </c>
      <c r="AL11" s="404" t="str">
        <f t="shared" si="11"/>
        <v/>
      </c>
      <c r="AM11" s="404" t="str">
        <f t="shared" si="9"/>
        <v/>
      </c>
      <c r="AN11" s="405"/>
      <c r="AO11" s="405"/>
      <c r="AP11" s="405"/>
      <c r="AQ11" s="405"/>
      <c r="AR11" s="405"/>
      <c r="AS11" s="405"/>
      <c r="AT11" s="405"/>
      <c r="AU11" s="400" t="str">
        <f>IFERROR(VLOOKUP(AT11,'Seguridad Información'!$I$61:$J$65,2,0),"")</f>
        <v/>
      </c>
      <c r="AV11" s="400"/>
      <c r="AW11" s="406" t="str">
        <f t="shared" si="1"/>
        <v/>
      </c>
      <c r="AX11" s="404" t="str">
        <f t="shared" si="2"/>
        <v/>
      </c>
      <c r="AY11" s="406" t="str">
        <f>IFERROR(VLOOKUP((CONCATENATE(AM11,AX11)),Listados!$U$3:$V$11,2,FALSE),"")</f>
        <v/>
      </c>
      <c r="AZ11" s="404">
        <f t="shared" si="10"/>
        <v>100</v>
      </c>
      <c r="BA11" s="942"/>
      <c r="BB11" s="942"/>
      <c r="BC11" s="407">
        <f>+IF(AND(W11="Preventivo",BB7="Fuerte"),2,IF(AND(W11="Preventivo",BB7="Moderado"),1,0))</f>
        <v>0</v>
      </c>
      <c r="BD11" s="407">
        <f>+IF(AND(W11="Detectivo/Correctivo",$BB7="Fuerte"),2,IF(AND(W11="Detectivo/Correctivo",$BB11="Moderado"),1,IF(AND(W11="Preventivo",$BB7="Fuerte"),1,0)))</f>
        <v>0</v>
      </c>
      <c r="BE11" s="407" t="e">
        <f>+N7-BC11</f>
        <v>#N/A</v>
      </c>
      <c r="BF11" s="407" t="e">
        <f>+P7-BD11</f>
        <v>#N/A</v>
      </c>
      <c r="BG11" s="565"/>
      <c r="BH11" s="565"/>
      <c r="BI11" s="565"/>
      <c r="BJ11" s="573"/>
      <c r="BK11" s="573"/>
      <c r="BL11" s="573"/>
      <c r="BM11" s="939"/>
    </row>
    <row r="12" spans="1:16383" ht="65.099999999999994" customHeight="1">
      <c r="A12" s="953"/>
      <c r="B12" s="689"/>
      <c r="C12" s="686"/>
      <c r="D12" s="401"/>
      <c r="E12" s="401"/>
      <c r="F12" s="948"/>
      <c r="G12" s="948"/>
      <c r="H12" s="375"/>
      <c r="I12" s="375"/>
      <c r="J12" s="375"/>
      <c r="K12" s="402"/>
      <c r="L12" s="403"/>
      <c r="M12" s="689"/>
      <c r="N12" s="943"/>
      <c r="O12" s="945"/>
      <c r="P12" s="943"/>
      <c r="Q12" s="565"/>
      <c r="R12" s="565"/>
      <c r="S12" s="332"/>
      <c r="T12" s="332"/>
      <c r="U12" s="347" t="s">
        <v>1179</v>
      </c>
      <c r="V12" s="347"/>
      <c r="W12" s="348"/>
      <c r="X12" s="332"/>
      <c r="Y12" s="332" t="str">
        <f t="shared" si="3"/>
        <v/>
      </c>
      <c r="Z12" s="332"/>
      <c r="AA12" s="332" t="str">
        <f t="shared" si="4"/>
        <v/>
      </c>
      <c r="AB12" s="332"/>
      <c r="AC12" s="332" t="str">
        <f t="shared" si="5"/>
        <v/>
      </c>
      <c r="AD12" s="332"/>
      <c r="AE12" s="332" t="str">
        <f t="shared" si="6"/>
        <v/>
      </c>
      <c r="AF12" s="332"/>
      <c r="AG12" s="332" t="str">
        <f t="shared" si="7"/>
        <v/>
      </c>
      <c r="AH12" s="332"/>
      <c r="AI12" s="332" t="str">
        <f t="shared" si="8"/>
        <v/>
      </c>
      <c r="AJ12" s="332"/>
      <c r="AK12" s="333" t="str">
        <f t="shared" si="0"/>
        <v/>
      </c>
      <c r="AL12" s="404" t="str">
        <f t="shared" si="11"/>
        <v/>
      </c>
      <c r="AM12" s="404" t="str">
        <f t="shared" si="9"/>
        <v/>
      </c>
      <c r="AN12" s="405"/>
      <c r="AO12" s="405"/>
      <c r="AP12" s="405"/>
      <c r="AQ12" s="405"/>
      <c r="AR12" s="405"/>
      <c r="AS12" s="405"/>
      <c r="AT12" s="405"/>
      <c r="AU12" s="400" t="str">
        <f>IFERROR(VLOOKUP(AT12,'Seguridad Información'!$I$61:$J$65,2,0),"")</f>
        <v/>
      </c>
      <c r="AV12" s="400"/>
      <c r="AW12" s="406" t="str">
        <f t="shared" si="1"/>
        <v/>
      </c>
      <c r="AX12" s="404" t="str">
        <f t="shared" si="2"/>
        <v/>
      </c>
      <c r="AY12" s="406" t="str">
        <f>IFERROR(VLOOKUP((CONCATENATE(AM12,AX12)),Listados!$U$3:$V$11,2,FALSE),"")</f>
        <v/>
      </c>
      <c r="AZ12" s="404">
        <f t="shared" si="10"/>
        <v>100</v>
      </c>
      <c r="BA12" s="942"/>
      <c r="BB12" s="942"/>
      <c r="BC12" s="407">
        <f>+IF(AND(W12="Preventivo",BB7="Fuerte"),2,IF(AND(W12="Preventivo",BB7="Moderado"),1,0))</f>
        <v>0</v>
      </c>
      <c r="BD12" s="407">
        <f>+IF(AND(W12="Detectivo/Correctivo",$BB7="Fuerte"),2,IF(AND(W12="Detectivo/Correctivo",$BB12="Moderado"),1,IF(AND(W12="Preventivo",$BB7="Fuerte"),1,0)))</f>
        <v>0</v>
      </c>
      <c r="BE12" s="407" t="e">
        <f>+N7-BC12</f>
        <v>#N/A</v>
      </c>
      <c r="BF12" s="407" t="e">
        <f>+P7-BD12</f>
        <v>#N/A</v>
      </c>
      <c r="BG12" s="565"/>
      <c r="BH12" s="565"/>
      <c r="BI12" s="565"/>
      <c r="BJ12" s="573"/>
      <c r="BK12" s="573"/>
      <c r="BL12" s="573"/>
      <c r="BM12" s="939"/>
    </row>
    <row r="13" spans="1:16383" ht="65.099999999999994" customHeight="1">
      <c r="A13" s="953">
        <v>2</v>
      </c>
      <c r="B13" s="949"/>
      <c r="C13" s="686" t="str">
        <f>IFERROR(VLOOKUP(B13,Listados!B$3:C$20,2,FALSE),"")</f>
        <v/>
      </c>
      <c r="D13" s="401"/>
      <c r="E13" s="401"/>
      <c r="F13" s="948"/>
      <c r="G13" s="948"/>
      <c r="H13" s="375"/>
      <c r="I13" s="375"/>
      <c r="J13" s="375"/>
      <c r="K13" s="402"/>
      <c r="L13" s="403"/>
      <c r="M13" s="689"/>
      <c r="N13" s="943" t="e">
        <f>+VLOOKUP(M13,Listados!$K$8:$L$12,2,0)</f>
        <v>#N/A</v>
      </c>
      <c r="O13" s="945"/>
      <c r="P13" s="943" t="e">
        <f>+VLOOKUP(O13,Listados!$K$13:$L$17,2,0)</f>
        <v>#N/A</v>
      </c>
      <c r="Q13" s="565" t="str">
        <f>IF(AND(M13&lt;&gt;"",O13&lt;&gt;""),VLOOKUP(M13&amp;O13,Listados!$M$3:$N$27,2,FALSE),"")</f>
        <v/>
      </c>
      <c r="R13" s="565" t="e">
        <f>+VLOOKUP(Q13,Listados!$P$3:$Q$6,2,FALSE)</f>
        <v>#N/A</v>
      </c>
      <c r="S13" s="332"/>
      <c r="T13" s="332"/>
      <c r="U13" s="347" t="s">
        <v>1179</v>
      </c>
      <c r="V13" s="347"/>
      <c r="W13" s="408"/>
      <c r="X13" s="408"/>
      <c r="Y13" s="332" t="str">
        <f t="shared" si="3"/>
        <v/>
      </c>
      <c r="Z13" s="408"/>
      <c r="AA13" s="332" t="str">
        <f t="shared" si="4"/>
        <v/>
      </c>
      <c r="AB13" s="332"/>
      <c r="AC13" s="332" t="str">
        <f t="shared" si="5"/>
        <v/>
      </c>
      <c r="AD13" s="332"/>
      <c r="AE13" s="332" t="str">
        <f t="shared" si="6"/>
        <v/>
      </c>
      <c r="AF13" s="332"/>
      <c r="AG13" s="332" t="str">
        <f t="shared" si="7"/>
        <v/>
      </c>
      <c r="AH13" s="332"/>
      <c r="AI13" s="332" t="str">
        <f t="shared" si="8"/>
        <v/>
      </c>
      <c r="AJ13" s="332"/>
      <c r="AK13" s="333" t="str">
        <f t="shared" si="0"/>
        <v/>
      </c>
      <c r="AL13" s="404" t="str">
        <f t="shared" si="11"/>
        <v/>
      </c>
      <c r="AM13" s="404" t="str">
        <f t="shared" si="9"/>
        <v/>
      </c>
      <c r="AN13" s="405"/>
      <c r="AO13" s="405"/>
      <c r="AP13" s="405"/>
      <c r="AQ13" s="405"/>
      <c r="AR13" s="405"/>
      <c r="AS13" s="405"/>
      <c r="AT13" s="405"/>
      <c r="AU13" s="400" t="str">
        <f>IFERROR(VLOOKUP(AT13,'Seguridad Información'!$I$61:$J$65,2,0),"")</f>
        <v/>
      </c>
      <c r="AV13" s="400"/>
      <c r="AW13" s="406" t="str">
        <f t="shared" si="1"/>
        <v/>
      </c>
      <c r="AX13" s="404" t="str">
        <f t="shared" si="2"/>
        <v/>
      </c>
      <c r="AY13" s="406" t="str">
        <f>IFERROR(VLOOKUP((CONCATENATE(AM13,AX13)),Listados!$U$3:$V$11,2,FALSE),"")</f>
        <v/>
      </c>
      <c r="AZ13" s="404">
        <f t="shared" si="10"/>
        <v>100</v>
      </c>
      <c r="BA13" s="942">
        <f>AVERAGE(AZ13:AZ18)</f>
        <v>100</v>
      </c>
      <c r="BB13" s="942" t="str">
        <f>IF(BA13&lt;=50, "Débil", IF(BA13&lt;=99,"Moderado","Fuerte"))</f>
        <v>Fuerte</v>
      </c>
      <c r="BC13" s="407">
        <f>+IF(AND(W13="Preventivo",BB13="Fuerte"),2,IF(AND(W13="Preventivo",BB13="Moderado"),1,0))</f>
        <v>0</v>
      </c>
      <c r="BD13" s="407">
        <f>+IF(AND(W13="Detectivo/Correctivo",$BB13="Fuerte"),2,IF(AND(W13="Detectivo/Correctivo",$BB13="Moderado"),1,IF(AND(W13="Preventivo",$BB13="Fuerte"),1,0)))</f>
        <v>0</v>
      </c>
      <c r="BE13" s="407" t="e">
        <f>+N13-BC13</f>
        <v>#N/A</v>
      </c>
      <c r="BF13" s="407" t="e">
        <f>+P13-BD13</f>
        <v>#N/A</v>
      </c>
      <c r="BG13" s="565" t="e">
        <f>+VLOOKUP(MIN(BE13,BE14,BE15,BE16,BE17,BE18),Listados!$J$18:$K$24,2,TRUE)</f>
        <v>#N/A</v>
      </c>
      <c r="BH13" s="565" t="e">
        <f>+VLOOKUP(MIN(BF13,BF14,BF15,BF16,BF17,BF18),Listados!$J$26:$K$32,2,TRUE)</f>
        <v>#N/A</v>
      </c>
      <c r="BI13" s="565" t="e">
        <f>IF(AND(BG13&lt;&gt;"",BH13&lt;&gt;""),VLOOKUP(BG13&amp;BH13,Listados!$M$3:$N$27,2,FALSE),"")</f>
        <v>#N/A</v>
      </c>
      <c r="BJ13" s="573" t="e">
        <f>+IF($R13="Asumir el riesgo","NA","")</f>
        <v>#N/A</v>
      </c>
      <c r="BK13" s="573" t="e">
        <f>+IF($R13="Asumir el riesgo","NA","")</f>
        <v>#N/A</v>
      </c>
      <c r="BL13" s="573" t="e">
        <f>+IF($R13="Asumir el riesgo","NA","")</f>
        <v>#N/A</v>
      </c>
      <c r="BM13" s="939" t="e">
        <f>+IF($R13="Asumir el riesgo","NA","")</f>
        <v>#N/A</v>
      </c>
    </row>
    <row r="14" spans="1:16383" ht="65.099999999999994" customHeight="1">
      <c r="A14" s="953"/>
      <c r="B14" s="949"/>
      <c r="C14" s="686"/>
      <c r="D14" s="401"/>
      <c r="E14" s="401"/>
      <c r="F14" s="948"/>
      <c r="G14" s="948"/>
      <c r="H14" s="375"/>
      <c r="I14" s="375"/>
      <c r="J14" s="375"/>
      <c r="K14" s="402"/>
      <c r="L14" s="403"/>
      <c r="M14" s="689"/>
      <c r="N14" s="943"/>
      <c r="O14" s="945"/>
      <c r="P14" s="943"/>
      <c r="Q14" s="565"/>
      <c r="R14" s="565"/>
      <c r="S14" s="332"/>
      <c r="T14" s="332"/>
      <c r="U14" s="347" t="s">
        <v>1179</v>
      </c>
      <c r="V14" s="347"/>
      <c r="W14" s="408"/>
      <c r="X14" s="408"/>
      <c r="Y14" s="332" t="str">
        <f t="shared" si="3"/>
        <v/>
      </c>
      <c r="Z14" s="408"/>
      <c r="AA14" s="332" t="str">
        <f t="shared" si="4"/>
        <v/>
      </c>
      <c r="AB14" s="332"/>
      <c r="AC14" s="332" t="str">
        <f t="shared" si="5"/>
        <v/>
      </c>
      <c r="AD14" s="332"/>
      <c r="AE14" s="332" t="str">
        <f t="shared" si="6"/>
        <v/>
      </c>
      <c r="AF14" s="332"/>
      <c r="AG14" s="332" t="str">
        <f t="shared" si="7"/>
        <v/>
      </c>
      <c r="AH14" s="332"/>
      <c r="AI14" s="332" t="str">
        <f t="shared" si="8"/>
        <v/>
      </c>
      <c r="AJ14" s="332"/>
      <c r="AK14" s="333" t="str">
        <f t="shared" si="0"/>
        <v/>
      </c>
      <c r="AL14" s="404" t="str">
        <f t="shared" si="11"/>
        <v/>
      </c>
      <c r="AM14" s="404" t="str">
        <f t="shared" si="9"/>
        <v/>
      </c>
      <c r="AN14" s="405"/>
      <c r="AO14" s="405"/>
      <c r="AP14" s="405"/>
      <c r="AQ14" s="405"/>
      <c r="AR14" s="405"/>
      <c r="AS14" s="405"/>
      <c r="AT14" s="405"/>
      <c r="AU14" s="400" t="str">
        <f>IFERROR(VLOOKUP(AT14,'Seguridad Información'!$I$61:$J$65,2,0),"")</f>
        <v/>
      </c>
      <c r="AV14" s="400"/>
      <c r="AW14" s="406" t="str">
        <f t="shared" si="1"/>
        <v/>
      </c>
      <c r="AX14" s="404" t="str">
        <f t="shared" si="2"/>
        <v/>
      </c>
      <c r="AY14" s="406" t="str">
        <f>IFERROR(VLOOKUP((CONCATENATE(AM14,AX14)),Listados!$U$3:$V$11,2,FALSE),"")</f>
        <v/>
      </c>
      <c r="AZ14" s="404">
        <f t="shared" si="10"/>
        <v>100</v>
      </c>
      <c r="BA14" s="942"/>
      <c r="BB14" s="942"/>
      <c r="BC14" s="407">
        <f>+IF(AND(W14="Preventivo",BB13="Fuerte"),2,IF(AND(W14="Preventivo",BB13="Moderado"),1,0))</f>
        <v>0</v>
      </c>
      <c r="BD14" s="407">
        <f>+IF(AND(W14="Detectivo/Correctivo",$BB13="Fuerte"),2,IF(AND(W14="Detectivo/Correctivo",$BB14="Moderado"),1,IF(AND(W14="Preventivo",$BB13="Fuerte"),1,0)))</f>
        <v>0</v>
      </c>
      <c r="BE14" s="407" t="e">
        <f>+N13-BC14</f>
        <v>#N/A</v>
      </c>
      <c r="BF14" s="407" t="e">
        <f>+P13-BD14</f>
        <v>#N/A</v>
      </c>
      <c r="BG14" s="565"/>
      <c r="BH14" s="565"/>
      <c r="BI14" s="565"/>
      <c r="BJ14" s="573"/>
      <c r="BK14" s="573"/>
      <c r="BL14" s="573"/>
      <c r="BM14" s="939"/>
    </row>
    <row r="15" spans="1:16383" ht="65.099999999999994" customHeight="1">
      <c r="A15" s="953"/>
      <c r="B15" s="949"/>
      <c r="C15" s="686"/>
      <c r="D15" s="401"/>
      <c r="E15" s="401"/>
      <c r="F15" s="948"/>
      <c r="G15" s="948"/>
      <c r="H15" s="375"/>
      <c r="I15" s="375"/>
      <c r="J15" s="375"/>
      <c r="K15" s="402"/>
      <c r="L15" s="403"/>
      <c r="M15" s="689"/>
      <c r="N15" s="943"/>
      <c r="O15" s="945"/>
      <c r="P15" s="943"/>
      <c r="Q15" s="565"/>
      <c r="R15" s="565"/>
      <c r="S15" s="332"/>
      <c r="T15" s="332"/>
      <c r="U15" s="347" t="s">
        <v>1179</v>
      </c>
      <c r="V15" s="347"/>
      <c r="W15" s="408"/>
      <c r="X15" s="408"/>
      <c r="Y15" s="332" t="str">
        <f t="shared" si="3"/>
        <v/>
      </c>
      <c r="Z15" s="408"/>
      <c r="AA15" s="332" t="str">
        <f t="shared" si="4"/>
        <v/>
      </c>
      <c r="AB15" s="332"/>
      <c r="AC15" s="332" t="str">
        <f t="shared" si="5"/>
        <v/>
      </c>
      <c r="AD15" s="332"/>
      <c r="AE15" s="332" t="str">
        <f t="shared" si="6"/>
        <v/>
      </c>
      <c r="AF15" s="332"/>
      <c r="AG15" s="332" t="str">
        <f t="shared" si="7"/>
        <v/>
      </c>
      <c r="AH15" s="332"/>
      <c r="AI15" s="332" t="str">
        <f t="shared" si="8"/>
        <v/>
      </c>
      <c r="AJ15" s="332"/>
      <c r="AK15" s="333" t="str">
        <f t="shared" si="0"/>
        <v/>
      </c>
      <c r="AL15" s="404" t="str">
        <f t="shared" si="11"/>
        <v/>
      </c>
      <c r="AM15" s="404" t="str">
        <f t="shared" si="9"/>
        <v/>
      </c>
      <c r="AN15" s="405"/>
      <c r="AO15" s="405"/>
      <c r="AP15" s="405"/>
      <c r="AQ15" s="405"/>
      <c r="AR15" s="405"/>
      <c r="AS15" s="405"/>
      <c r="AT15" s="405"/>
      <c r="AU15" s="400" t="str">
        <f>IFERROR(VLOOKUP(AT15,'Seguridad Información'!$I$61:$J$65,2,0),"")</f>
        <v/>
      </c>
      <c r="AV15" s="400"/>
      <c r="AW15" s="406" t="str">
        <f t="shared" si="1"/>
        <v/>
      </c>
      <c r="AX15" s="404" t="str">
        <f t="shared" si="2"/>
        <v/>
      </c>
      <c r="AY15" s="406" t="str">
        <f>IFERROR(VLOOKUP((CONCATENATE(AM15,AX15)),Listados!$U$3:$V$11,2,FALSE),"")</f>
        <v/>
      </c>
      <c r="AZ15" s="404">
        <f t="shared" si="10"/>
        <v>100</v>
      </c>
      <c r="BA15" s="942"/>
      <c r="BB15" s="942"/>
      <c r="BC15" s="407">
        <f>+IF(AND(W15="Preventivo",BB13="Fuerte"),2,IF(AND(W15="Preventivo",BB13="Moderado"),1,0))</f>
        <v>0</v>
      </c>
      <c r="BD15" s="407">
        <f>+IF(AND(W15="Detectivo/Correctivo",$BB13="Fuerte"),2,IF(AND(W15="Detectivo/Correctivo",$BB15="Moderado"),1,IF(AND(W15="Preventivo",$BB13="Fuerte"),1,0)))</f>
        <v>0</v>
      </c>
      <c r="BE15" s="407" t="e">
        <f>+N13-BC15</f>
        <v>#N/A</v>
      </c>
      <c r="BF15" s="407" t="e">
        <f>+P13-BD15</f>
        <v>#N/A</v>
      </c>
      <c r="BG15" s="565"/>
      <c r="BH15" s="565"/>
      <c r="BI15" s="565"/>
      <c r="BJ15" s="573"/>
      <c r="BK15" s="573"/>
      <c r="BL15" s="573"/>
      <c r="BM15" s="939"/>
    </row>
    <row r="16" spans="1:16383" ht="65.099999999999994" customHeight="1">
      <c r="A16" s="953"/>
      <c r="B16" s="949"/>
      <c r="C16" s="686"/>
      <c r="D16" s="401"/>
      <c r="E16" s="401"/>
      <c r="F16" s="948"/>
      <c r="G16" s="948"/>
      <c r="H16" s="375"/>
      <c r="I16" s="375"/>
      <c r="J16" s="375"/>
      <c r="K16" s="402"/>
      <c r="L16" s="403"/>
      <c r="M16" s="689"/>
      <c r="N16" s="943"/>
      <c r="O16" s="945"/>
      <c r="P16" s="943"/>
      <c r="Q16" s="565"/>
      <c r="R16" s="565"/>
      <c r="S16" s="332"/>
      <c r="T16" s="332"/>
      <c r="U16" s="347" t="s">
        <v>1179</v>
      </c>
      <c r="V16" s="347"/>
      <c r="W16" s="408"/>
      <c r="X16" s="408"/>
      <c r="Y16" s="332" t="str">
        <f t="shared" si="3"/>
        <v/>
      </c>
      <c r="Z16" s="408"/>
      <c r="AA16" s="332" t="str">
        <f t="shared" si="4"/>
        <v/>
      </c>
      <c r="AB16" s="332"/>
      <c r="AC16" s="332" t="str">
        <f t="shared" si="5"/>
        <v/>
      </c>
      <c r="AD16" s="332"/>
      <c r="AE16" s="332" t="str">
        <f t="shared" si="6"/>
        <v/>
      </c>
      <c r="AF16" s="332"/>
      <c r="AG16" s="332" t="str">
        <f t="shared" si="7"/>
        <v/>
      </c>
      <c r="AH16" s="332"/>
      <c r="AI16" s="332" t="str">
        <f t="shared" si="8"/>
        <v/>
      </c>
      <c r="AJ16" s="332"/>
      <c r="AK16" s="333" t="str">
        <f t="shared" si="0"/>
        <v/>
      </c>
      <c r="AL16" s="404" t="str">
        <f t="shared" si="11"/>
        <v/>
      </c>
      <c r="AM16" s="404" t="str">
        <f t="shared" si="9"/>
        <v/>
      </c>
      <c r="AN16" s="405"/>
      <c r="AO16" s="405"/>
      <c r="AP16" s="405"/>
      <c r="AQ16" s="405"/>
      <c r="AR16" s="405"/>
      <c r="AS16" s="405"/>
      <c r="AT16" s="405"/>
      <c r="AU16" s="400" t="str">
        <f>IFERROR(VLOOKUP(AT16,'Seguridad Información'!$I$61:$J$65,2,0),"")</f>
        <v/>
      </c>
      <c r="AV16" s="400"/>
      <c r="AW16" s="406" t="str">
        <f t="shared" si="1"/>
        <v/>
      </c>
      <c r="AX16" s="404" t="str">
        <f t="shared" si="2"/>
        <v/>
      </c>
      <c r="AY16" s="406" t="str">
        <f>IFERROR(VLOOKUP((CONCATENATE(AM16,AX16)),Listados!$U$3:$V$11,2,FALSE),"")</f>
        <v/>
      </c>
      <c r="AZ16" s="404">
        <f t="shared" si="10"/>
        <v>100</v>
      </c>
      <c r="BA16" s="942"/>
      <c r="BB16" s="942"/>
      <c r="BC16" s="407">
        <f>+IF(AND(W16="Preventivo",BB13="Fuerte"),2,IF(AND(W16="Preventivo",BB13="Moderado"),1,0))</f>
        <v>0</v>
      </c>
      <c r="BD16" s="407">
        <f>+IF(AND(W16="Detectivo/Correctivo",$BB13="Fuerte"),2,IF(AND(W16="Detectivo/Correctivo",$BB16="Moderado"),1,IF(AND(W16="Preventivo",$BB13="Fuerte"),1,0)))</f>
        <v>0</v>
      </c>
      <c r="BE16" s="407" t="e">
        <f>+N13-BC16</f>
        <v>#N/A</v>
      </c>
      <c r="BF16" s="407" t="e">
        <f>+P13-BD16</f>
        <v>#N/A</v>
      </c>
      <c r="BG16" s="565"/>
      <c r="BH16" s="565"/>
      <c r="BI16" s="565"/>
      <c r="BJ16" s="573"/>
      <c r="BK16" s="573"/>
      <c r="BL16" s="573"/>
      <c r="BM16" s="939"/>
    </row>
    <row r="17" spans="1:65" ht="65.099999999999994" customHeight="1">
      <c r="A17" s="953"/>
      <c r="B17" s="949"/>
      <c r="C17" s="686"/>
      <c r="D17" s="401"/>
      <c r="E17" s="401"/>
      <c r="F17" s="948"/>
      <c r="G17" s="948"/>
      <c r="H17" s="375"/>
      <c r="I17" s="375"/>
      <c r="J17" s="375"/>
      <c r="K17" s="402"/>
      <c r="L17" s="403"/>
      <c r="M17" s="689"/>
      <c r="N17" s="943"/>
      <c r="O17" s="945"/>
      <c r="P17" s="943"/>
      <c r="Q17" s="565"/>
      <c r="R17" s="565"/>
      <c r="S17" s="332"/>
      <c r="T17" s="332"/>
      <c r="U17" s="347" t="s">
        <v>1179</v>
      </c>
      <c r="V17" s="347"/>
      <c r="W17" s="408"/>
      <c r="X17" s="408"/>
      <c r="Y17" s="332" t="str">
        <f t="shared" si="3"/>
        <v/>
      </c>
      <c r="Z17" s="408"/>
      <c r="AA17" s="332" t="str">
        <f t="shared" si="4"/>
        <v/>
      </c>
      <c r="AB17" s="332"/>
      <c r="AC17" s="332" t="str">
        <f t="shared" si="5"/>
        <v/>
      </c>
      <c r="AD17" s="332"/>
      <c r="AE17" s="332" t="str">
        <f t="shared" si="6"/>
        <v/>
      </c>
      <c r="AF17" s="332"/>
      <c r="AG17" s="332" t="str">
        <f t="shared" si="7"/>
        <v/>
      </c>
      <c r="AH17" s="332"/>
      <c r="AI17" s="332" t="str">
        <f t="shared" si="8"/>
        <v/>
      </c>
      <c r="AJ17" s="332"/>
      <c r="AK17" s="333" t="str">
        <f t="shared" si="0"/>
        <v/>
      </c>
      <c r="AL17" s="404" t="str">
        <f t="shared" si="11"/>
        <v/>
      </c>
      <c r="AM17" s="404" t="str">
        <f t="shared" si="9"/>
        <v/>
      </c>
      <c r="AN17" s="405"/>
      <c r="AO17" s="405"/>
      <c r="AP17" s="405"/>
      <c r="AQ17" s="405"/>
      <c r="AR17" s="405"/>
      <c r="AS17" s="405"/>
      <c r="AT17" s="405"/>
      <c r="AU17" s="400" t="str">
        <f>IFERROR(VLOOKUP(AT17,'Seguridad Información'!$I$61:$J$65,2,0),"")</f>
        <v/>
      </c>
      <c r="AV17" s="400"/>
      <c r="AW17" s="406" t="str">
        <f t="shared" si="1"/>
        <v/>
      </c>
      <c r="AX17" s="404" t="str">
        <f t="shared" si="2"/>
        <v/>
      </c>
      <c r="AY17" s="406" t="str">
        <f>IFERROR(VLOOKUP((CONCATENATE(AM17,AX17)),Listados!$U$3:$V$11,2,FALSE),"")</f>
        <v/>
      </c>
      <c r="AZ17" s="404">
        <f t="shared" si="10"/>
        <v>100</v>
      </c>
      <c r="BA17" s="942"/>
      <c r="BB17" s="942"/>
      <c r="BC17" s="407">
        <f>+IF(AND(W17="Preventivo",BB13="Fuerte"),2,IF(AND(W17="Preventivo",BB13="Moderado"),1,0))</f>
        <v>0</v>
      </c>
      <c r="BD17" s="407">
        <f>+IF(AND(W17="Detectivo/Correctivo",$BB13="Fuerte"),2,IF(AND(W17="Detectivo/Correctivo",$BB17="Moderado"),1,IF(AND(W17="Preventivo",$BB13="Fuerte"),1,0)))</f>
        <v>0</v>
      </c>
      <c r="BE17" s="407" t="e">
        <f>+N13-BC17</f>
        <v>#N/A</v>
      </c>
      <c r="BF17" s="407" t="e">
        <f>+P13-BD17</f>
        <v>#N/A</v>
      </c>
      <c r="BG17" s="565"/>
      <c r="BH17" s="565"/>
      <c r="BI17" s="565"/>
      <c r="BJ17" s="573"/>
      <c r="BK17" s="573"/>
      <c r="BL17" s="573"/>
      <c r="BM17" s="939"/>
    </row>
    <row r="18" spans="1:65" ht="65.099999999999994" customHeight="1">
      <c r="A18" s="953"/>
      <c r="B18" s="949"/>
      <c r="C18" s="686"/>
      <c r="D18" s="401"/>
      <c r="E18" s="401"/>
      <c r="F18" s="948"/>
      <c r="G18" s="948"/>
      <c r="H18" s="375"/>
      <c r="I18" s="375"/>
      <c r="J18" s="375"/>
      <c r="K18" s="402"/>
      <c r="L18" s="403"/>
      <c r="M18" s="689"/>
      <c r="N18" s="943"/>
      <c r="O18" s="945"/>
      <c r="P18" s="943"/>
      <c r="Q18" s="565"/>
      <c r="R18" s="565"/>
      <c r="S18" s="332"/>
      <c r="T18" s="332"/>
      <c r="U18" s="347" t="s">
        <v>1179</v>
      </c>
      <c r="V18" s="347"/>
      <c r="W18" s="408"/>
      <c r="X18" s="408"/>
      <c r="Y18" s="332" t="str">
        <f t="shared" si="3"/>
        <v/>
      </c>
      <c r="Z18" s="408"/>
      <c r="AA18" s="332" t="str">
        <f t="shared" si="4"/>
        <v/>
      </c>
      <c r="AB18" s="332"/>
      <c r="AC18" s="332" t="str">
        <f t="shared" si="5"/>
        <v/>
      </c>
      <c r="AD18" s="332"/>
      <c r="AE18" s="332" t="str">
        <f t="shared" si="6"/>
        <v/>
      </c>
      <c r="AF18" s="332"/>
      <c r="AG18" s="332" t="str">
        <f t="shared" si="7"/>
        <v/>
      </c>
      <c r="AH18" s="332"/>
      <c r="AI18" s="332" t="str">
        <f t="shared" si="8"/>
        <v/>
      </c>
      <c r="AJ18" s="332"/>
      <c r="AK18" s="333" t="str">
        <f t="shared" si="0"/>
        <v/>
      </c>
      <c r="AL18" s="404" t="str">
        <f t="shared" si="11"/>
        <v/>
      </c>
      <c r="AM18" s="404" t="str">
        <f t="shared" si="9"/>
        <v/>
      </c>
      <c r="AN18" s="405"/>
      <c r="AO18" s="405"/>
      <c r="AP18" s="405"/>
      <c r="AQ18" s="405"/>
      <c r="AR18" s="405"/>
      <c r="AS18" s="405"/>
      <c r="AT18" s="405"/>
      <c r="AU18" s="400" t="str">
        <f>IFERROR(VLOOKUP(AT18,'Seguridad Información'!$I$61:$J$65,2,0),"")</f>
        <v/>
      </c>
      <c r="AV18" s="400"/>
      <c r="AW18" s="406" t="str">
        <f t="shared" si="1"/>
        <v/>
      </c>
      <c r="AX18" s="404" t="str">
        <f t="shared" si="2"/>
        <v/>
      </c>
      <c r="AY18" s="406" t="str">
        <f>IFERROR(VLOOKUP((CONCATENATE(AM18,AX18)),Listados!$U$3:$V$11,2,FALSE),"")</f>
        <v/>
      </c>
      <c r="AZ18" s="404">
        <f t="shared" si="10"/>
        <v>100</v>
      </c>
      <c r="BA18" s="942"/>
      <c r="BB18" s="942"/>
      <c r="BC18" s="407">
        <f>+IF(AND(W18="Preventivo",BB13="Fuerte"),2,IF(AND(W18="Preventivo",BB13="Moderado"),1,0))</f>
        <v>0</v>
      </c>
      <c r="BD18" s="407">
        <f>+IF(AND(W18="Detectivo/Correctivo",$BB13="Fuerte"),2,IF(AND(W18="Detectivo/Correctivo",$BB18="Moderado"),1,IF(AND(W18="Preventivo",$BB13="Fuerte"),1,0)))</f>
        <v>0</v>
      </c>
      <c r="BE18" s="407" t="e">
        <f>+N13-BC18</f>
        <v>#N/A</v>
      </c>
      <c r="BF18" s="407" t="e">
        <f>+P13-BD18</f>
        <v>#N/A</v>
      </c>
      <c r="BG18" s="565"/>
      <c r="BH18" s="565"/>
      <c r="BI18" s="565"/>
      <c r="BJ18" s="573"/>
      <c r="BK18" s="573"/>
      <c r="BL18" s="573"/>
      <c r="BM18" s="939"/>
    </row>
    <row r="19" spans="1:65" ht="65.099999999999994" customHeight="1">
      <c r="A19" s="953">
        <v>3</v>
      </c>
      <c r="B19" s="949"/>
      <c r="C19" s="686" t="str">
        <f>IFERROR(VLOOKUP(B19,Listados!B$3:C$20,2,FALSE),"")</f>
        <v/>
      </c>
      <c r="D19" s="401"/>
      <c r="E19" s="401"/>
      <c r="F19" s="948"/>
      <c r="G19" s="947"/>
      <c r="H19" s="375"/>
      <c r="I19" s="375"/>
      <c r="J19" s="375"/>
      <c r="K19" s="402"/>
      <c r="L19" s="403"/>
      <c r="M19" s="689"/>
      <c r="N19" s="943" t="e">
        <f>+VLOOKUP(M19,Listados!$K$8:$L$12,2,0)</f>
        <v>#N/A</v>
      </c>
      <c r="O19" s="945"/>
      <c r="P19" s="943" t="e">
        <f>+VLOOKUP(O19,Listados!$K$13:$L$17,2,0)</f>
        <v>#N/A</v>
      </c>
      <c r="Q19" s="565" t="str">
        <f>IF(AND(M19&lt;&gt;"",O19&lt;&gt;""),VLOOKUP(M19&amp;O19,Listados!$M$3:$N$27,2,FALSE),"")</f>
        <v/>
      </c>
      <c r="R19" s="565" t="e">
        <f>+VLOOKUP(Q19,Listados!$P$3:$Q$6,2,FALSE)</f>
        <v>#N/A</v>
      </c>
      <c r="S19" s="332"/>
      <c r="T19" s="332"/>
      <c r="U19" s="347" t="s">
        <v>1179</v>
      </c>
      <c r="V19" s="347"/>
      <c r="W19" s="408" t="s">
        <v>72</v>
      </c>
      <c r="X19" s="408" t="s">
        <v>1180</v>
      </c>
      <c r="Y19" s="332" t="str">
        <f t="shared" si="3"/>
        <v/>
      </c>
      <c r="Z19" s="408" t="s">
        <v>1180</v>
      </c>
      <c r="AA19" s="332" t="str">
        <f t="shared" si="4"/>
        <v/>
      </c>
      <c r="AB19" s="332" t="s">
        <v>1180</v>
      </c>
      <c r="AC19" s="332" t="str">
        <f t="shared" si="5"/>
        <v/>
      </c>
      <c r="AD19" s="332" t="s">
        <v>1180</v>
      </c>
      <c r="AE19" s="332" t="str">
        <f t="shared" si="6"/>
        <v/>
      </c>
      <c r="AF19" s="332" t="s">
        <v>1180</v>
      </c>
      <c r="AG19" s="332" t="str">
        <f t="shared" si="7"/>
        <v/>
      </c>
      <c r="AH19" s="332" t="s">
        <v>1180</v>
      </c>
      <c r="AI19" s="332" t="str">
        <f t="shared" si="8"/>
        <v/>
      </c>
      <c r="AJ19" s="332" t="s">
        <v>1181</v>
      </c>
      <c r="AK19" s="333">
        <f t="shared" si="0"/>
        <v>5</v>
      </c>
      <c r="AL19" s="404">
        <f t="shared" si="11"/>
        <v>5</v>
      </c>
      <c r="AM19" s="404" t="str">
        <f t="shared" si="9"/>
        <v>Débil</v>
      </c>
      <c r="AN19" s="405"/>
      <c r="AO19" s="405"/>
      <c r="AP19" s="405"/>
      <c r="AQ19" s="405"/>
      <c r="AR19" s="405"/>
      <c r="AS19" s="405"/>
      <c r="AT19" s="405"/>
      <c r="AU19" s="400" t="str">
        <f>IFERROR(VLOOKUP(AT19,'Seguridad Información'!$I$61:$J$65,2,0),"")</f>
        <v/>
      </c>
      <c r="AV19" s="400"/>
      <c r="AW19" s="406" t="str">
        <f t="shared" si="1"/>
        <v/>
      </c>
      <c r="AX19" s="404" t="str">
        <f t="shared" si="2"/>
        <v/>
      </c>
      <c r="AY19" s="406" t="str">
        <f>IFERROR(VLOOKUP((CONCATENATE(AM19,AX19)),Listados!$U$3:$V$11,2,FALSE),"")</f>
        <v/>
      </c>
      <c r="AZ19" s="404">
        <f t="shared" si="10"/>
        <v>100</v>
      </c>
      <c r="BA19" s="942">
        <f>AVERAGE(AZ19:AZ24)</f>
        <v>100</v>
      </c>
      <c r="BB19" s="942" t="str">
        <f>IF(BA19&lt;=50, "Débil", IF(BA19&lt;=99,"Moderado","Fuerte"))</f>
        <v>Fuerte</v>
      </c>
      <c r="BC19" s="407">
        <f>+IF(AND(W19="Preventivo",BB19="Fuerte"),2,IF(AND(W19="Preventivo",BB19="Moderado"),1,0))</f>
        <v>2</v>
      </c>
      <c r="BD19" s="407">
        <f>+IF(AND(W19="Detectivo/Correctivo",$BB19="Fuerte"),2,IF(AND(W19="Detectivo/Correctivo",$BB19="Moderado"),1,IF(AND(W19="Preventivo",$BB19="Fuerte"),1,0)))</f>
        <v>1</v>
      </c>
      <c r="BE19" s="407" t="e">
        <f>+N19-BC19</f>
        <v>#N/A</v>
      </c>
      <c r="BF19" s="407" t="e">
        <f>+P19-BD19</f>
        <v>#N/A</v>
      </c>
      <c r="BG19" s="565" t="e">
        <f>+VLOOKUP(MIN(BE19,BE20,BE21,BE22,BE23,BE24),Listados!$J$18:$K$24,2,TRUE)</f>
        <v>#N/A</v>
      </c>
      <c r="BH19" s="565" t="e">
        <f>+VLOOKUP(MIN(BF19,BF20,BF21,BF22,BF23,BF24),Listados!$J$26:$K$32,2,TRUE)</f>
        <v>#N/A</v>
      </c>
      <c r="BI19" s="565" t="e">
        <f>IF(AND(BG19&lt;&gt;"",BH19&lt;&gt;""),VLOOKUP(BG19&amp;BH19,Listados!$M$3:$N$27,2,FALSE),"")</f>
        <v>#N/A</v>
      </c>
      <c r="BJ19" s="573" t="e">
        <f>+IF($R19="Asumir el riesgo","NA","")</f>
        <v>#N/A</v>
      </c>
      <c r="BK19" s="573" t="e">
        <f>+IF($R19="Asumir el riesgo","NA","")</f>
        <v>#N/A</v>
      </c>
      <c r="BL19" s="573" t="e">
        <f>+IF($R19="Asumir el riesgo","NA","")</f>
        <v>#N/A</v>
      </c>
      <c r="BM19" s="939" t="e">
        <f>+IF($R19="Asumir el riesgo","NA","")</f>
        <v>#N/A</v>
      </c>
    </row>
    <row r="20" spans="1:65" ht="65.099999999999994" customHeight="1">
      <c r="A20" s="953"/>
      <c r="B20" s="949"/>
      <c r="C20" s="686"/>
      <c r="D20" s="401"/>
      <c r="E20" s="401"/>
      <c r="F20" s="948"/>
      <c r="G20" s="947"/>
      <c r="H20" s="375"/>
      <c r="I20" s="375"/>
      <c r="J20" s="375"/>
      <c r="K20" s="402"/>
      <c r="L20" s="403"/>
      <c r="M20" s="689"/>
      <c r="N20" s="943"/>
      <c r="O20" s="945"/>
      <c r="P20" s="943"/>
      <c r="Q20" s="565"/>
      <c r="R20" s="565"/>
      <c r="S20" s="332"/>
      <c r="T20" s="332"/>
      <c r="U20" s="347" t="s">
        <v>1179</v>
      </c>
      <c r="V20" s="347"/>
      <c r="W20" s="408" t="s">
        <v>1159</v>
      </c>
      <c r="X20" s="408" t="s">
        <v>73</v>
      </c>
      <c r="Y20" s="332">
        <f t="shared" si="3"/>
        <v>15</v>
      </c>
      <c r="Z20" s="408" t="s">
        <v>1182</v>
      </c>
      <c r="AA20" s="332">
        <f t="shared" si="4"/>
        <v>15</v>
      </c>
      <c r="AB20" s="332" t="s">
        <v>1182</v>
      </c>
      <c r="AC20" s="332">
        <f t="shared" si="5"/>
        <v>15</v>
      </c>
      <c r="AD20" s="332" t="s">
        <v>1182</v>
      </c>
      <c r="AE20" s="332">
        <f t="shared" si="6"/>
        <v>15</v>
      </c>
      <c r="AF20" s="332" t="s">
        <v>1182</v>
      </c>
      <c r="AG20" s="332">
        <f t="shared" si="7"/>
        <v>15</v>
      </c>
      <c r="AH20" s="332" t="s">
        <v>1182</v>
      </c>
      <c r="AI20" s="332">
        <f t="shared" si="8"/>
        <v>15</v>
      </c>
      <c r="AJ20" s="332" t="s">
        <v>74</v>
      </c>
      <c r="AK20" s="333">
        <f t="shared" si="0"/>
        <v>10</v>
      </c>
      <c r="AL20" s="404">
        <f t="shared" si="11"/>
        <v>100</v>
      </c>
      <c r="AM20" s="404" t="str">
        <f t="shared" si="9"/>
        <v>Fuerte</v>
      </c>
      <c r="AN20" s="405"/>
      <c r="AO20" s="405"/>
      <c r="AP20" s="405"/>
      <c r="AQ20" s="405"/>
      <c r="AR20" s="405"/>
      <c r="AS20" s="405"/>
      <c r="AT20" s="405"/>
      <c r="AU20" s="400" t="str">
        <f>IFERROR(VLOOKUP(AT20,'Seguridad Información'!$I$61:$J$65,2,0),"")</f>
        <v/>
      </c>
      <c r="AV20" s="400"/>
      <c r="AW20" s="406" t="str">
        <f t="shared" si="1"/>
        <v/>
      </c>
      <c r="AX20" s="404" t="str">
        <f t="shared" si="2"/>
        <v/>
      </c>
      <c r="AY20" s="406" t="str">
        <f>IFERROR(VLOOKUP((CONCATENATE(AM20,AX20)),Listados!$U$3:$V$11,2,FALSE),"")</f>
        <v/>
      </c>
      <c r="AZ20" s="404">
        <f t="shared" si="10"/>
        <v>100</v>
      </c>
      <c r="BA20" s="942"/>
      <c r="BB20" s="942"/>
      <c r="BC20" s="407">
        <f>+IF(AND(W20="Preventivo",BB19="Fuerte"),2,IF(AND(W20="Preventivo",BB19="Moderado"),1,0))</f>
        <v>0</v>
      </c>
      <c r="BD20" s="407">
        <f>+IF(AND(W20="Detectivo/Correctivo",$BB19="Fuerte"),2,IF(AND(W20="Detectivo/Correctivo",$BB20="Moderado"),1,IF(AND(W20="Preventivo",$BB19="Fuerte"),1,0)))</f>
        <v>2</v>
      </c>
      <c r="BE20" s="407" t="e">
        <f>+N19-BC20</f>
        <v>#N/A</v>
      </c>
      <c r="BF20" s="407" t="e">
        <f>+P19-BD20</f>
        <v>#N/A</v>
      </c>
      <c r="BG20" s="565"/>
      <c r="BH20" s="565"/>
      <c r="BI20" s="565"/>
      <c r="BJ20" s="573"/>
      <c r="BK20" s="573"/>
      <c r="BL20" s="573"/>
      <c r="BM20" s="939"/>
    </row>
    <row r="21" spans="1:65" ht="65.099999999999994" customHeight="1">
      <c r="A21" s="953"/>
      <c r="B21" s="949"/>
      <c r="C21" s="686"/>
      <c r="D21" s="401"/>
      <c r="E21" s="401"/>
      <c r="F21" s="948"/>
      <c r="G21" s="947"/>
      <c r="H21" s="375"/>
      <c r="I21" s="375"/>
      <c r="J21" s="375"/>
      <c r="K21" s="402"/>
      <c r="L21" s="403"/>
      <c r="M21" s="689"/>
      <c r="N21" s="943"/>
      <c r="O21" s="945"/>
      <c r="P21" s="943"/>
      <c r="Q21" s="565"/>
      <c r="R21" s="565"/>
      <c r="S21" s="332"/>
      <c r="T21" s="332"/>
      <c r="U21" s="347" t="s">
        <v>1179</v>
      </c>
      <c r="V21" s="347"/>
      <c r="W21" s="408"/>
      <c r="X21" s="408"/>
      <c r="Y21" s="332" t="str">
        <f t="shared" si="3"/>
        <v/>
      </c>
      <c r="Z21" s="408"/>
      <c r="AA21" s="332" t="str">
        <f t="shared" si="4"/>
        <v/>
      </c>
      <c r="AB21" s="332"/>
      <c r="AC21" s="332" t="str">
        <f t="shared" si="5"/>
        <v/>
      </c>
      <c r="AD21" s="332"/>
      <c r="AE21" s="332" t="str">
        <f t="shared" si="6"/>
        <v/>
      </c>
      <c r="AF21" s="332"/>
      <c r="AG21" s="332" t="str">
        <f t="shared" si="7"/>
        <v/>
      </c>
      <c r="AH21" s="332"/>
      <c r="AI21" s="332" t="str">
        <f t="shared" si="8"/>
        <v/>
      </c>
      <c r="AJ21" s="332"/>
      <c r="AK21" s="333" t="str">
        <f t="shared" si="0"/>
        <v/>
      </c>
      <c r="AL21" s="404" t="str">
        <f t="shared" si="11"/>
        <v/>
      </c>
      <c r="AM21" s="404" t="str">
        <f t="shared" si="9"/>
        <v/>
      </c>
      <c r="AN21" s="405"/>
      <c r="AO21" s="405"/>
      <c r="AP21" s="405"/>
      <c r="AQ21" s="405"/>
      <c r="AR21" s="405"/>
      <c r="AS21" s="405"/>
      <c r="AT21" s="405"/>
      <c r="AU21" s="400" t="str">
        <f>IFERROR(VLOOKUP(AT21,'Seguridad Información'!$I$61:$J$65,2,0),"")</f>
        <v/>
      </c>
      <c r="AV21" s="400"/>
      <c r="AW21" s="406" t="str">
        <f t="shared" si="1"/>
        <v/>
      </c>
      <c r="AX21" s="404" t="str">
        <f t="shared" si="2"/>
        <v/>
      </c>
      <c r="AY21" s="406" t="str">
        <f>IFERROR(VLOOKUP((CONCATENATE(AM21,AX21)),Listados!$U$3:$V$11,2,FALSE),"")</f>
        <v/>
      </c>
      <c r="AZ21" s="404">
        <f t="shared" si="10"/>
        <v>100</v>
      </c>
      <c r="BA21" s="942"/>
      <c r="BB21" s="942"/>
      <c r="BC21" s="407">
        <f>+IF(AND(W21="Preventivo",BB19="Fuerte"),2,IF(AND(W21="Preventivo",BB19="Moderado"),1,0))</f>
        <v>0</v>
      </c>
      <c r="BD21" s="407">
        <f>+IF(AND(W21="Detectivo/Correctivo",$BB19="Fuerte"),2,IF(AND(W21="Detectivo/Correctivo",$BB21="Moderado"),1,IF(AND(W21="Preventivo",$BB19="Fuerte"),1,0)))</f>
        <v>0</v>
      </c>
      <c r="BE21" s="407" t="e">
        <f>+N19-BC21</f>
        <v>#N/A</v>
      </c>
      <c r="BF21" s="407" t="e">
        <f>+P19-BD21</f>
        <v>#N/A</v>
      </c>
      <c r="BG21" s="565"/>
      <c r="BH21" s="565"/>
      <c r="BI21" s="565"/>
      <c r="BJ21" s="573"/>
      <c r="BK21" s="573"/>
      <c r="BL21" s="573"/>
      <c r="BM21" s="939"/>
    </row>
    <row r="22" spans="1:65" ht="65.099999999999994" customHeight="1">
      <c r="A22" s="953"/>
      <c r="B22" s="949"/>
      <c r="C22" s="686"/>
      <c r="D22" s="401"/>
      <c r="E22" s="401"/>
      <c r="F22" s="948"/>
      <c r="G22" s="947"/>
      <c r="H22" s="375"/>
      <c r="I22" s="375"/>
      <c r="J22" s="375"/>
      <c r="K22" s="402"/>
      <c r="L22" s="403"/>
      <c r="M22" s="689"/>
      <c r="N22" s="943"/>
      <c r="O22" s="945"/>
      <c r="P22" s="943"/>
      <c r="Q22" s="565"/>
      <c r="R22" s="565"/>
      <c r="S22" s="332"/>
      <c r="T22" s="332"/>
      <c r="U22" s="347" t="s">
        <v>1179</v>
      </c>
      <c r="V22" s="347"/>
      <c r="W22" s="408"/>
      <c r="X22" s="408"/>
      <c r="Y22" s="332" t="str">
        <f t="shared" si="3"/>
        <v/>
      </c>
      <c r="Z22" s="408"/>
      <c r="AA22" s="332" t="str">
        <f t="shared" si="4"/>
        <v/>
      </c>
      <c r="AB22" s="332"/>
      <c r="AC22" s="332" t="str">
        <f t="shared" si="5"/>
        <v/>
      </c>
      <c r="AD22" s="332"/>
      <c r="AE22" s="332" t="str">
        <f t="shared" si="6"/>
        <v/>
      </c>
      <c r="AF22" s="332"/>
      <c r="AG22" s="332" t="str">
        <f t="shared" si="7"/>
        <v/>
      </c>
      <c r="AH22" s="332"/>
      <c r="AI22" s="332" t="str">
        <f t="shared" si="8"/>
        <v/>
      </c>
      <c r="AJ22" s="332"/>
      <c r="AK22" s="333" t="str">
        <f t="shared" si="0"/>
        <v/>
      </c>
      <c r="AL22" s="404" t="str">
        <f t="shared" si="11"/>
        <v/>
      </c>
      <c r="AM22" s="404" t="str">
        <f t="shared" si="9"/>
        <v/>
      </c>
      <c r="AN22" s="405"/>
      <c r="AO22" s="405"/>
      <c r="AP22" s="405"/>
      <c r="AQ22" s="405"/>
      <c r="AR22" s="405"/>
      <c r="AS22" s="405"/>
      <c r="AT22" s="405"/>
      <c r="AU22" s="400" t="str">
        <f>IFERROR(VLOOKUP(AT22,'Seguridad Información'!$I$61:$J$65,2,0),"")</f>
        <v/>
      </c>
      <c r="AV22" s="400"/>
      <c r="AW22" s="406" t="str">
        <f t="shared" si="1"/>
        <v/>
      </c>
      <c r="AX22" s="404" t="str">
        <f t="shared" si="2"/>
        <v/>
      </c>
      <c r="AY22" s="406" t="str">
        <f>IFERROR(VLOOKUP((CONCATENATE(AM22,AX22)),Listados!$U$3:$V$11,2,FALSE),"")</f>
        <v/>
      </c>
      <c r="AZ22" s="404">
        <f t="shared" si="10"/>
        <v>100</v>
      </c>
      <c r="BA22" s="942"/>
      <c r="BB22" s="942"/>
      <c r="BC22" s="407">
        <f>+IF(AND(W22="Preventivo",BB19="Fuerte"),2,IF(AND(W22="Preventivo",BB19="Moderado"),1,0))</f>
        <v>0</v>
      </c>
      <c r="BD22" s="407">
        <f>+IF(AND(W22="Detectivo/Correctivo",$BB19="Fuerte"),2,IF(AND(W22="Detectivo/Correctivo",$BB22="Moderado"),1,IF(AND(W22="Preventivo",$BB19="Fuerte"),1,0)))</f>
        <v>0</v>
      </c>
      <c r="BE22" s="407" t="e">
        <f>+N19-BC22</f>
        <v>#N/A</v>
      </c>
      <c r="BF22" s="407" t="e">
        <f>+P19-BD22</f>
        <v>#N/A</v>
      </c>
      <c r="BG22" s="565"/>
      <c r="BH22" s="565"/>
      <c r="BI22" s="565"/>
      <c r="BJ22" s="573"/>
      <c r="BK22" s="573"/>
      <c r="BL22" s="573"/>
      <c r="BM22" s="939"/>
    </row>
    <row r="23" spans="1:65" ht="65.099999999999994" customHeight="1">
      <c r="A23" s="953"/>
      <c r="B23" s="949"/>
      <c r="C23" s="686"/>
      <c r="D23" s="401"/>
      <c r="E23" s="401"/>
      <c r="F23" s="948"/>
      <c r="G23" s="947"/>
      <c r="H23" s="375"/>
      <c r="I23" s="375"/>
      <c r="J23" s="375"/>
      <c r="K23" s="402"/>
      <c r="L23" s="403"/>
      <c r="M23" s="689"/>
      <c r="N23" s="943"/>
      <c r="O23" s="945"/>
      <c r="P23" s="943"/>
      <c r="Q23" s="565"/>
      <c r="R23" s="565"/>
      <c r="S23" s="332"/>
      <c r="T23" s="332"/>
      <c r="U23" s="347" t="s">
        <v>1179</v>
      </c>
      <c r="V23" s="347"/>
      <c r="W23" s="408"/>
      <c r="X23" s="408"/>
      <c r="Y23" s="332" t="str">
        <f t="shared" si="3"/>
        <v/>
      </c>
      <c r="Z23" s="408"/>
      <c r="AA23" s="332" t="str">
        <f t="shared" si="4"/>
        <v/>
      </c>
      <c r="AB23" s="332"/>
      <c r="AC23" s="332" t="str">
        <f t="shared" si="5"/>
        <v/>
      </c>
      <c r="AD23" s="332"/>
      <c r="AE23" s="332" t="str">
        <f t="shared" si="6"/>
        <v/>
      </c>
      <c r="AF23" s="332"/>
      <c r="AG23" s="332" t="str">
        <f t="shared" si="7"/>
        <v/>
      </c>
      <c r="AH23" s="332"/>
      <c r="AI23" s="332" t="str">
        <f t="shared" si="8"/>
        <v/>
      </c>
      <c r="AJ23" s="332"/>
      <c r="AK23" s="333" t="str">
        <f t="shared" si="0"/>
        <v/>
      </c>
      <c r="AL23" s="404" t="str">
        <f t="shared" si="11"/>
        <v/>
      </c>
      <c r="AM23" s="404" t="str">
        <f t="shared" si="9"/>
        <v/>
      </c>
      <c r="AN23" s="405"/>
      <c r="AO23" s="405"/>
      <c r="AP23" s="405"/>
      <c r="AQ23" s="405"/>
      <c r="AR23" s="405"/>
      <c r="AS23" s="405"/>
      <c r="AT23" s="405"/>
      <c r="AU23" s="400" t="str">
        <f>IFERROR(VLOOKUP(AT23,'Seguridad Información'!$I$61:$J$65,2,0),"")</f>
        <v/>
      </c>
      <c r="AV23" s="400"/>
      <c r="AW23" s="406" t="str">
        <f t="shared" si="1"/>
        <v/>
      </c>
      <c r="AX23" s="404" t="str">
        <f t="shared" si="2"/>
        <v/>
      </c>
      <c r="AY23" s="406" t="str">
        <f>IFERROR(VLOOKUP((CONCATENATE(AM23,AX23)),Listados!$U$3:$V$11,2,FALSE),"")</f>
        <v/>
      </c>
      <c r="AZ23" s="404">
        <f t="shared" si="10"/>
        <v>100</v>
      </c>
      <c r="BA23" s="942"/>
      <c r="BB23" s="942"/>
      <c r="BC23" s="407">
        <f>+IF(AND(W23="Preventivo",BB19="Fuerte"),2,IF(AND(W23="Preventivo",BB19="Moderado"),1,0))</f>
        <v>0</v>
      </c>
      <c r="BD23" s="407">
        <f>+IF(AND(W23="Detectivo/Correctivo",$BB19="Fuerte"),2,IF(AND(W23="Detectivo/Correctivo",$BB23="Moderado"),1,IF(AND(W23="Preventivo",$BB19="Fuerte"),1,0)))</f>
        <v>0</v>
      </c>
      <c r="BE23" s="407" t="e">
        <f>+N19-BC23</f>
        <v>#N/A</v>
      </c>
      <c r="BF23" s="407" t="e">
        <f>+P19-BD23</f>
        <v>#N/A</v>
      </c>
      <c r="BG23" s="565"/>
      <c r="BH23" s="565"/>
      <c r="BI23" s="565"/>
      <c r="BJ23" s="573"/>
      <c r="BK23" s="573"/>
      <c r="BL23" s="573"/>
      <c r="BM23" s="939"/>
    </row>
    <row r="24" spans="1:65" ht="65.099999999999994" customHeight="1">
      <c r="A24" s="953"/>
      <c r="B24" s="949"/>
      <c r="C24" s="686"/>
      <c r="D24" s="401"/>
      <c r="E24" s="401"/>
      <c r="F24" s="948"/>
      <c r="G24" s="947"/>
      <c r="H24" s="375"/>
      <c r="I24" s="375"/>
      <c r="J24" s="375"/>
      <c r="K24" s="402"/>
      <c r="L24" s="403"/>
      <c r="M24" s="689"/>
      <c r="N24" s="943"/>
      <c r="O24" s="945"/>
      <c r="P24" s="943"/>
      <c r="Q24" s="565"/>
      <c r="R24" s="565"/>
      <c r="S24" s="332"/>
      <c r="T24" s="332"/>
      <c r="U24" s="347" t="s">
        <v>1179</v>
      </c>
      <c r="V24" s="347"/>
      <c r="W24" s="408"/>
      <c r="X24" s="408"/>
      <c r="Y24" s="332" t="str">
        <f t="shared" si="3"/>
        <v/>
      </c>
      <c r="Z24" s="408"/>
      <c r="AA24" s="332" t="str">
        <f t="shared" si="4"/>
        <v/>
      </c>
      <c r="AB24" s="332"/>
      <c r="AC24" s="332" t="str">
        <f t="shared" si="5"/>
        <v/>
      </c>
      <c r="AD24" s="332"/>
      <c r="AE24" s="332" t="str">
        <f t="shared" si="6"/>
        <v/>
      </c>
      <c r="AF24" s="332"/>
      <c r="AG24" s="332" t="str">
        <f t="shared" si="7"/>
        <v/>
      </c>
      <c r="AH24" s="332"/>
      <c r="AI24" s="332" t="str">
        <f t="shared" si="8"/>
        <v/>
      </c>
      <c r="AJ24" s="332"/>
      <c r="AK24" s="333" t="str">
        <f t="shared" si="0"/>
        <v/>
      </c>
      <c r="AL24" s="404" t="str">
        <f t="shared" si="11"/>
        <v/>
      </c>
      <c r="AM24" s="404" t="str">
        <f t="shared" si="9"/>
        <v/>
      </c>
      <c r="AN24" s="405"/>
      <c r="AO24" s="405"/>
      <c r="AP24" s="405"/>
      <c r="AQ24" s="405"/>
      <c r="AR24" s="405"/>
      <c r="AS24" s="405"/>
      <c r="AT24" s="405"/>
      <c r="AU24" s="400" t="str">
        <f>IFERROR(VLOOKUP(AT24,'Seguridad Información'!$I$61:$J$65,2,0),"")</f>
        <v/>
      </c>
      <c r="AV24" s="400"/>
      <c r="AW24" s="406" t="str">
        <f t="shared" si="1"/>
        <v/>
      </c>
      <c r="AX24" s="404" t="str">
        <f t="shared" si="2"/>
        <v/>
      </c>
      <c r="AY24" s="406" t="str">
        <f>IFERROR(VLOOKUP((CONCATENATE(AM24,AX24)),Listados!$U$3:$V$11,2,FALSE),"")</f>
        <v/>
      </c>
      <c r="AZ24" s="404">
        <f t="shared" si="10"/>
        <v>100</v>
      </c>
      <c r="BA24" s="942"/>
      <c r="BB24" s="942"/>
      <c r="BC24" s="407">
        <f>+IF(AND(W24="Preventivo",BB19="Fuerte"),2,IF(AND(W24="Preventivo",BB19="Moderado"),1,0))</f>
        <v>0</v>
      </c>
      <c r="BD24" s="407">
        <f>+IF(AND(W24="Detectivo/Correctivo",$BB19="Fuerte"),2,IF(AND(W24="Detectivo/Correctivo",$BB24="Moderado"),1,IF(AND(W24="Preventivo",$BB19="Fuerte"),1,0)))</f>
        <v>0</v>
      </c>
      <c r="BE24" s="407" t="e">
        <f>+N19-BC24</f>
        <v>#N/A</v>
      </c>
      <c r="BF24" s="407" t="e">
        <f>+P19-BD24</f>
        <v>#N/A</v>
      </c>
      <c r="BG24" s="565"/>
      <c r="BH24" s="565"/>
      <c r="BI24" s="565"/>
      <c r="BJ24" s="573"/>
      <c r="BK24" s="573"/>
      <c r="BL24" s="573"/>
      <c r="BM24" s="939"/>
    </row>
    <row r="25" spans="1:65" ht="65.099999999999994" customHeight="1">
      <c r="A25" s="953">
        <v>4</v>
      </c>
      <c r="B25" s="949"/>
      <c r="C25" s="686" t="str">
        <f>IFERROR(VLOOKUP(B25,Listados!B$3:C$20,2,FALSE),"")</f>
        <v/>
      </c>
      <c r="D25" s="401"/>
      <c r="E25" s="401"/>
      <c r="F25" s="948"/>
      <c r="G25" s="947"/>
      <c r="H25" s="375"/>
      <c r="I25" s="375"/>
      <c r="J25" s="375"/>
      <c r="K25" s="402"/>
      <c r="L25" s="403"/>
      <c r="M25" s="689"/>
      <c r="N25" s="943" t="e">
        <f>+VLOOKUP(M25,Listados!$K$8:$L$12,2,0)</f>
        <v>#N/A</v>
      </c>
      <c r="O25" s="945"/>
      <c r="P25" s="943" t="e">
        <f>+VLOOKUP(O25,Listados!$K$13:$L$17,2,0)</f>
        <v>#N/A</v>
      </c>
      <c r="Q25" s="565" t="str">
        <f>IF(AND(M25&lt;&gt;"",O25&lt;&gt;""),VLOOKUP(M25&amp;O25,Listados!$M$3:$N$27,2,FALSE),"")</f>
        <v/>
      </c>
      <c r="R25" s="565" t="e">
        <f>+VLOOKUP(Q25,Listados!$P$3:$Q$6,2,FALSE)</f>
        <v>#N/A</v>
      </c>
      <c r="S25" s="332"/>
      <c r="T25" s="332"/>
      <c r="U25" s="347" t="s">
        <v>1179</v>
      </c>
      <c r="V25" s="347"/>
      <c r="W25" s="408" t="s">
        <v>72</v>
      </c>
      <c r="X25" s="408" t="s">
        <v>73</v>
      </c>
      <c r="Y25" s="332">
        <f t="shared" si="3"/>
        <v>15</v>
      </c>
      <c r="Z25" s="408" t="s">
        <v>1182</v>
      </c>
      <c r="AA25" s="332">
        <f t="shared" si="4"/>
        <v>15</v>
      </c>
      <c r="AB25" s="332" t="s">
        <v>1182</v>
      </c>
      <c r="AC25" s="332">
        <f t="shared" si="5"/>
        <v>15</v>
      </c>
      <c r="AD25" s="332" t="s">
        <v>1182</v>
      </c>
      <c r="AE25" s="332">
        <f t="shared" si="6"/>
        <v>15</v>
      </c>
      <c r="AF25" s="332" t="s">
        <v>1182</v>
      </c>
      <c r="AG25" s="332">
        <f t="shared" si="7"/>
        <v>15</v>
      </c>
      <c r="AH25" s="332" t="s">
        <v>1182</v>
      </c>
      <c r="AI25" s="332">
        <f t="shared" si="8"/>
        <v>15</v>
      </c>
      <c r="AJ25" s="332" t="s">
        <v>1181</v>
      </c>
      <c r="AK25" s="333">
        <f t="shared" si="0"/>
        <v>5</v>
      </c>
      <c r="AL25" s="404">
        <f t="shared" si="11"/>
        <v>95</v>
      </c>
      <c r="AM25" s="404" t="str">
        <f t="shared" si="9"/>
        <v>Moderado</v>
      </c>
      <c r="AN25" s="405"/>
      <c r="AO25" s="405"/>
      <c r="AP25" s="405"/>
      <c r="AQ25" s="405"/>
      <c r="AR25" s="405"/>
      <c r="AS25" s="405"/>
      <c r="AT25" s="405"/>
      <c r="AU25" s="400" t="str">
        <f>IFERROR(VLOOKUP(AT25,'Seguridad Información'!$I$61:$J$65,2,0),"")</f>
        <v/>
      </c>
      <c r="AV25" s="400"/>
      <c r="AW25" s="406" t="str">
        <f t="shared" si="1"/>
        <v/>
      </c>
      <c r="AX25" s="404" t="str">
        <f t="shared" si="2"/>
        <v/>
      </c>
      <c r="AY25" s="406" t="str">
        <f>IFERROR(VLOOKUP((CONCATENATE(AM25,AX25)),Listados!$U$3:$V$11,2,FALSE),"")</f>
        <v/>
      </c>
      <c r="AZ25" s="404">
        <f t="shared" si="10"/>
        <v>100</v>
      </c>
      <c r="BA25" s="942">
        <f>AVERAGE(AZ25:AZ30)</f>
        <v>100</v>
      </c>
      <c r="BB25" s="942" t="str">
        <f>IF(BA25&lt;=50, "Débil", IF(BA25&lt;=99,"Moderado","Fuerte"))</f>
        <v>Fuerte</v>
      </c>
      <c r="BC25" s="407">
        <f>+IF(AND(W25="Preventivo",BB25="Fuerte"),2,IF(AND(W25="Preventivo",BB25="Moderado"),1,0))</f>
        <v>2</v>
      </c>
      <c r="BD25" s="407">
        <f>+IF(AND(W25="Detectivo/Correctivo",$BB25="Fuerte"),2,IF(AND(W25="Detectivo/Correctivo",$BB25="Moderado"),1,IF(AND(W25="Preventivo",$BB25="Fuerte"),1,0)))</f>
        <v>1</v>
      </c>
      <c r="BE25" s="407" t="e">
        <f>+N25-BC25</f>
        <v>#N/A</v>
      </c>
      <c r="BF25" s="407" t="e">
        <f>+P25-BD25</f>
        <v>#N/A</v>
      </c>
      <c r="BG25" s="565" t="e">
        <f>+VLOOKUP(MIN(BE25,BE26,BE27,BE28,BE29,BE30),Listados!$J$18:$K$24,2,TRUE)</f>
        <v>#N/A</v>
      </c>
      <c r="BH25" s="565" t="e">
        <f>+VLOOKUP(MIN(BF25,BF26,BF27,BF28,BF29,BF30),Listados!$J$26:$K$32,2,TRUE)</f>
        <v>#N/A</v>
      </c>
      <c r="BI25" s="565" t="e">
        <f>IF(AND(BG25&lt;&gt;"",BH25&lt;&gt;""),VLOOKUP(BG25&amp;BH25,Listados!$M$3:$N$27,2,FALSE),"")</f>
        <v>#N/A</v>
      </c>
      <c r="BJ25" s="573" t="e">
        <f>+IF($R25="Asumir el riesgo","NA","")</f>
        <v>#N/A</v>
      </c>
      <c r="BK25" s="573" t="e">
        <f>+IF($R25="Asumir el riesgo","NA","")</f>
        <v>#N/A</v>
      </c>
      <c r="BL25" s="573" t="e">
        <f>+IF($R25="Asumir el riesgo","NA","")</f>
        <v>#N/A</v>
      </c>
      <c r="BM25" s="939" t="e">
        <f>+IF($R25="Asumir el riesgo","NA","")</f>
        <v>#N/A</v>
      </c>
    </row>
    <row r="26" spans="1:65" ht="65.099999999999994" customHeight="1">
      <c r="A26" s="953"/>
      <c r="B26" s="949"/>
      <c r="C26" s="686"/>
      <c r="D26" s="401"/>
      <c r="E26" s="401"/>
      <c r="F26" s="948"/>
      <c r="G26" s="947"/>
      <c r="H26" s="375"/>
      <c r="I26" s="375"/>
      <c r="J26" s="375"/>
      <c r="K26" s="402"/>
      <c r="L26" s="403"/>
      <c r="M26" s="689"/>
      <c r="N26" s="943"/>
      <c r="O26" s="945"/>
      <c r="P26" s="943"/>
      <c r="Q26" s="565"/>
      <c r="R26" s="565"/>
      <c r="S26" s="332"/>
      <c r="T26" s="332"/>
      <c r="U26" s="347" t="s">
        <v>1179</v>
      </c>
      <c r="V26" s="347"/>
      <c r="W26" s="408" t="s">
        <v>83</v>
      </c>
      <c r="X26" s="408" t="s">
        <v>1183</v>
      </c>
      <c r="Y26" s="332" t="str">
        <f t="shared" si="3"/>
        <v/>
      </c>
      <c r="Z26" s="408" t="s">
        <v>1182</v>
      </c>
      <c r="AA26" s="332">
        <f t="shared" si="4"/>
        <v>15</v>
      </c>
      <c r="AB26" s="332" t="s">
        <v>1182</v>
      </c>
      <c r="AC26" s="332">
        <f t="shared" si="5"/>
        <v>15</v>
      </c>
      <c r="AD26" s="332" t="s">
        <v>1182</v>
      </c>
      <c r="AE26" s="332">
        <f t="shared" si="6"/>
        <v>15</v>
      </c>
      <c r="AF26" s="332" t="s">
        <v>1182</v>
      </c>
      <c r="AG26" s="332">
        <f t="shared" si="7"/>
        <v>15</v>
      </c>
      <c r="AH26" s="332" t="s">
        <v>1182</v>
      </c>
      <c r="AI26" s="332">
        <f t="shared" si="8"/>
        <v>15</v>
      </c>
      <c r="AJ26" s="332" t="s">
        <v>74</v>
      </c>
      <c r="AK26" s="333">
        <f t="shared" si="0"/>
        <v>10</v>
      </c>
      <c r="AL26" s="404">
        <f t="shared" si="11"/>
        <v>85</v>
      </c>
      <c r="AM26" s="404" t="str">
        <f t="shared" si="9"/>
        <v>Débil</v>
      </c>
      <c r="AN26" s="405"/>
      <c r="AO26" s="405"/>
      <c r="AP26" s="405"/>
      <c r="AQ26" s="405"/>
      <c r="AR26" s="405"/>
      <c r="AS26" s="405"/>
      <c r="AT26" s="405"/>
      <c r="AU26" s="400" t="str">
        <f>IFERROR(VLOOKUP(AT26,'Seguridad Información'!$I$61:$J$65,2,0),"")</f>
        <v/>
      </c>
      <c r="AV26" s="400"/>
      <c r="AW26" s="406" t="str">
        <f t="shared" si="1"/>
        <v/>
      </c>
      <c r="AX26" s="404" t="str">
        <f t="shared" si="2"/>
        <v/>
      </c>
      <c r="AY26" s="406" t="str">
        <f>IFERROR(VLOOKUP((CONCATENATE(AM26,AX26)),Listados!$U$3:$V$11,2,FALSE),"")</f>
        <v/>
      </c>
      <c r="AZ26" s="404">
        <f t="shared" si="10"/>
        <v>100</v>
      </c>
      <c r="BA26" s="942"/>
      <c r="BB26" s="942"/>
      <c r="BC26" s="407">
        <f>+IF(AND(W26="Preventivo",BB25="Fuerte"),2,IF(AND(W26="Preventivo",BB25="Moderado"),1,0))</f>
        <v>0</v>
      </c>
      <c r="BD26" s="407">
        <f>+IF(AND(W26="Detectivo/Correctivo",$BB25="Fuerte"),2,IF(AND(W26="Detectivo/Correctivo",$BB26="Moderado"),1,IF(AND(W26="Preventivo",$BB25="Fuerte"),1,0)))</f>
        <v>0</v>
      </c>
      <c r="BE26" s="407" t="e">
        <f>+N25-BC26</f>
        <v>#N/A</v>
      </c>
      <c r="BF26" s="407" t="e">
        <f>+P25-BD26</f>
        <v>#N/A</v>
      </c>
      <c r="BG26" s="565"/>
      <c r="BH26" s="565"/>
      <c r="BI26" s="565"/>
      <c r="BJ26" s="573"/>
      <c r="BK26" s="573"/>
      <c r="BL26" s="573"/>
      <c r="BM26" s="939"/>
    </row>
    <row r="27" spans="1:65" ht="65.099999999999994" customHeight="1">
      <c r="A27" s="953"/>
      <c r="B27" s="949"/>
      <c r="C27" s="686"/>
      <c r="D27" s="401"/>
      <c r="E27" s="401"/>
      <c r="F27" s="948"/>
      <c r="G27" s="947"/>
      <c r="H27" s="375"/>
      <c r="I27" s="375"/>
      <c r="J27" s="375"/>
      <c r="K27" s="402"/>
      <c r="L27" s="403"/>
      <c r="M27" s="689"/>
      <c r="N27" s="943"/>
      <c r="O27" s="945"/>
      <c r="P27" s="943"/>
      <c r="Q27" s="565"/>
      <c r="R27" s="565"/>
      <c r="S27" s="332"/>
      <c r="T27" s="332"/>
      <c r="U27" s="347" t="s">
        <v>1179</v>
      </c>
      <c r="V27" s="347"/>
      <c r="W27" s="408"/>
      <c r="X27" s="408"/>
      <c r="Y27" s="332" t="str">
        <f t="shared" si="3"/>
        <v/>
      </c>
      <c r="Z27" s="408"/>
      <c r="AA27" s="332" t="str">
        <f t="shared" si="4"/>
        <v/>
      </c>
      <c r="AB27" s="332"/>
      <c r="AC27" s="332" t="str">
        <f t="shared" si="5"/>
        <v/>
      </c>
      <c r="AD27" s="332"/>
      <c r="AE27" s="332" t="str">
        <f t="shared" si="6"/>
        <v/>
      </c>
      <c r="AF27" s="332"/>
      <c r="AG27" s="332" t="str">
        <f t="shared" si="7"/>
        <v/>
      </c>
      <c r="AH27" s="332"/>
      <c r="AI27" s="332" t="str">
        <f t="shared" si="8"/>
        <v/>
      </c>
      <c r="AJ27" s="332"/>
      <c r="AK27" s="333" t="str">
        <f t="shared" si="0"/>
        <v/>
      </c>
      <c r="AL27" s="404" t="str">
        <f t="shared" si="11"/>
        <v/>
      </c>
      <c r="AM27" s="404" t="str">
        <f t="shared" si="9"/>
        <v/>
      </c>
      <c r="AN27" s="405"/>
      <c r="AO27" s="405"/>
      <c r="AP27" s="405"/>
      <c r="AQ27" s="405"/>
      <c r="AR27" s="405"/>
      <c r="AS27" s="405"/>
      <c r="AT27" s="405"/>
      <c r="AU27" s="400" t="str">
        <f>IFERROR(VLOOKUP(AT27,'Seguridad Información'!$I$61:$J$65,2,0),"")</f>
        <v/>
      </c>
      <c r="AV27" s="400"/>
      <c r="AW27" s="406" t="str">
        <f t="shared" si="1"/>
        <v/>
      </c>
      <c r="AX27" s="404" t="str">
        <f t="shared" si="2"/>
        <v/>
      </c>
      <c r="AY27" s="406" t="str">
        <f>IFERROR(VLOOKUP((CONCATENATE(AM27,AX27)),Listados!$U$3:$V$11,2,FALSE),"")</f>
        <v/>
      </c>
      <c r="AZ27" s="404">
        <f t="shared" si="10"/>
        <v>100</v>
      </c>
      <c r="BA27" s="942"/>
      <c r="BB27" s="942"/>
      <c r="BC27" s="407">
        <f>+IF(AND(W27="Preventivo",BB25="Fuerte"),2,IF(AND(W27="Preventivo",BB25="Moderado"),1,0))</f>
        <v>0</v>
      </c>
      <c r="BD27" s="407">
        <f>+IF(AND(W27="Detectivo/Correctivo",$BB25="Fuerte"),2,IF(AND(W27="Detectivo/Correctivo",$BB27="Moderado"),1,IF(AND(W27="Preventivo",$BB25="Fuerte"),1,0)))</f>
        <v>0</v>
      </c>
      <c r="BE27" s="407" t="e">
        <f>+N25-BC27</f>
        <v>#N/A</v>
      </c>
      <c r="BF27" s="407" t="e">
        <f>+P25-BD27</f>
        <v>#N/A</v>
      </c>
      <c r="BG27" s="565"/>
      <c r="BH27" s="565"/>
      <c r="BI27" s="565"/>
      <c r="BJ27" s="573"/>
      <c r="BK27" s="573"/>
      <c r="BL27" s="573"/>
      <c r="BM27" s="939"/>
    </row>
    <row r="28" spans="1:65" ht="65.099999999999994" customHeight="1">
      <c r="A28" s="953"/>
      <c r="B28" s="949"/>
      <c r="C28" s="686"/>
      <c r="D28" s="401"/>
      <c r="E28" s="401"/>
      <c r="F28" s="948"/>
      <c r="G28" s="947"/>
      <c r="H28" s="375"/>
      <c r="I28" s="375"/>
      <c r="J28" s="375"/>
      <c r="K28" s="402"/>
      <c r="L28" s="403"/>
      <c r="M28" s="689"/>
      <c r="N28" s="943"/>
      <c r="O28" s="945"/>
      <c r="P28" s="943"/>
      <c r="Q28" s="565"/>
      <c r="R28" s="565"/>
      <c r="S28" s="332"/>
      <c r="T28" s="332"/>
      <c r="U28" s="347" t="s">
        <v>1179</v>
      </c>
      <c r="V28" s="347"/>
      <c r="W28" s="408"/>
      <c r="X28" s="408"/>
      <c r="Y28" s="332" t="str">
        <f t="shared" si="3"/>
        <v/>
      </c>
      <c r="Z28" s="408"/>
      <c r="AA28" s="332" t="str">
        <f t="shared" si="4"/>
        <v/>
      </c>
      <c r="AB28" s="332"/>
      <c r="AC28" s="332" t="str">
        <f t="shared" si="5"/>
        <v/>
      </c>
      <c r="AD28" s="332"/>
      <c r="AE28" s="332" t="str">
        <f t="shared" si="6"/>
        <v/>
      </c>
      <c r="AF28" s="332"/>
      <c r="AG28" s="332" t="str">
        <f t="shared" si="7"/>
        <v/>
      </c>
      <c r="AH28" s="332"/>
      <c r="AI28" s="332" t="str">
        <f t="shared" si="8"/>
        <v/>
      </c>
      <c r="AJ28" s="332"/>
      <c r="AK28" s="333" t="str">
        <f t="shared" si="0"/>
        <v/>
      </c>
      <c r="AL28" s="404" t="str">
        <f t="shared" si="11"/>
        <v/>
      </c>
      <c r="AM28" s="404" t="str">
        <f t="shared" si="9"/>
        <v/>
      </c>
      <c r="AN28" s="405"/>
      <c r="AO28" s="405"/>
      <c r="AP28" s="405"/>
      <c r="AQ28" s="405"/>
      <c r="AR28" s="405"/>
      <c r="AS28" s="405"/>
      <c r="AT28" s="405"/>
      <c r="AU28" s="400" t="str">
        <f>IFERROR(VLOOKUP(AT28,'Seguridad Información'!$I$61:$J$65,2,0),"")</f>
        <v/>
      </c>
      <c r="AV28" s="400"/>
      <c r="AW28" s="406" t="str">
        <f t="shared" si="1"/>
        <v/>
      </c>
      <c r="AX28" s="404" t="str">
        <f t="shared" si="2"/>
        <v/>
      </c>
      <c r="AY28" s="406" t="str">
        <f>IFERROR(VLOOKUP((CONCATENATE(AM28,AX28)),Listados!$U$3:$V$11,2,FALSE),"")</f>
        <v/>
      </c>
      <c r="AZ28" s="404">
        <f t="shared" si="10"/>
        <v>100</v>
      </c>
      <c r="BA28" s="942"/>
      <c r="BB28" s="942"/>
      <c r="BC28" s="407">
        <f>+IF(AND(W28="Preventivo",BB25="Fuerte"),2,IF(AND(W28="Preventivo",BB25="Moderado"),1,0))</f>
        <v>0</v>
      </c>
      <c r="BD28" s="407">
        <f>+IF(AND(W28="Detectivo/Correctivo",$BB25="Fuerte"),2,IF(AND(W28="Detectivo/Correctivo",$BB28="Moderado"),1,IF(AND(W28="Preventivo",$BB25="Fuerte"),1,0)))</f>
        <v>0</v>
      </c>
      <c r="BE28" s="407" t="e">
        <f>+N25-BC28</f>
        <v>#N/A</v>
      </c>
      <c r="BF28" s="407" t="e">
        <f>+P25-BD28</f>
        <v>#N/A</v>
      </c>
      <c r="BG28" s="565"/>
      <c r="BH28" s="565"/>
      <c r="BI28" s="565"/>
      <c r="BJ28" s="573"/>
      <c r="BK28" s="573"/>
      <c r="BL28" s="573"/>
      <c r="BM28" s="939"/>
    </row>
    <row r="29" spans="1:65" ht="65.099999999999994" customHeight="1">
      <c r="A29" s="953"/>
      <c r="B29" s="949"/>
      <c r="C29" s="686"/>
      <c r="D29" s="401"/>
      <c r="E29" s="401"/>
      <c r="F29" s="948"/>
      <c r="G29" s="947"/>
      <c r="H29" s="375"/>
      <c r="I29" s="375"/>
      <c r="J29" s="375"/>
      <c r="K29" s="402"/>
      <c r="L29" s="403"/>
      <c r="M29" s="689"/>
      <c r="N29" s="943"/>
      <c r="O29" s="945"/>
      <c r="P29" s="943"/>
      <c r="Q29" s="565"/>
      <c r="R29" s="565"/>
      <c r="S29" s="332"/>
      <c r="T29" s="332"/>
      <c r="U29" s="347" t="s">
        <v>1179</v>
      </c>
      <c r="V29" s="347"/>
      <c r="W29" s="408"/>
      <c r="X29" s="408"/>
      <c r="Y29" s="332" t="str">
        <f t="shared" si="3"/>
        <v/>
      </c>
      <c r="Z29" s="408"/>
      <c r="AA29" s="332" t="str">
        <f t="shared" si="4"/>
        <v/>
      </c>
      <c r="AB29" s="332"/>
      <c r="AC29" s="332" t="str">
        <f t="shared" si="5"/>
        <v/>
      </c>
      <c r="AD29" s="332"/>
      <c r="AE29" s="332" t="str">
        <f t="shared" si="6"/>
        <v/>
      </c>
      <c r="AF29" s="332"/>
      <c r="AG29" s="332" t="str">
        <f t="shared" si="7"/>
        <v/>
      </c>
      <c r="AH29" s="332"/>
      <c r="AI29" s="332" t="str">
        <f t="shared" si="8"/>
        <v/>
      </c>
      <c r="AJ29" s="332"/>
      <c r="AK29" s="333" t="str">
        <f t="shared" si="0"/>
        <v/>
      </c>
      <c r="AL29" s="404" t="str">
        <f t="shared" si="11"/>
        <v/>
      </c>
      <c r="AM29" s="404" t="str">
        <f t="shared" si="9"/>
        <v/>
      </c>
      <c r="AN29" s="405"/>
      <c r="AO29" s="405"/>
      <c r="AP29" s="405"/>
      <c r="AQ29" s="405"/>
      <c r="AR29" s="405"/>
      <c r="AS29" s="405"/>
      <c r="AT29" s="405"/>
      <c r="AU29" s="400" t="str">
        <f>IFERROR(VLOOKUP(AT29,'Seguridad Información'!$I$61:$J$65,2,0),"")</f>
        <v/>
      </c>
      <c r="AV29" s="400"/>
      <c r="AW29" s="406" t="str">
        <f t="shared" si="1"/>
        <v/>
      </c>
      <c r="AX29" s="404" t="str">
        <f t="shared" si="2"/>
        <v/>
      </c>
      <c r="AY29" s="406" t="str">
        <f>IFERROR(VLOOKUP((CONCATENATE(AM29,AX29)),Listados!$U$3:$V$11,2,FALSE),"")</f>
        <v/>
      </c>
      <c r="AZ29" s="404">
        <f t="shared" si="10"/>
        <v>100</v>
      </c>
      <c r="BA29" s="942"/>
      <c r="BB29" s="942"/>
      <c r="BC29" s="407">
        <f>+IF(AND(W29="Preventivo",BB25="Fuerte"),2,IF(AND(W29="Preventivo",BB25="Moderado"),1,0))</f>
        <v>0</v>
      </c>
      <c r="BD29" s="407">
        <f>+IF(AND(W29="Detectivo/Correctivo",$BB25="Fuerte"),2,IF(AND(W29="Detectivo/Correctivo",$BB29="Moderado"),1,IF(AND(W29="Preventivo",$BB25="Fuerte"),1,0)))</f>
        <v>0</v>
      </c>
      <c r="BE29" s="407" t="e">
        <f>+N25-BC29</f>
        <v>#N/A</v>
      </c>
      <c r="BF29" s="407" t="e">
        <f>+P25-BD29</f>
        <v>#N/A</v>
      </c>
      <c r="BG29" s="565"/>
      <c r="BH29" s="565"/>
      <c r="BI29" s="565"/>
      <c r="BJ29" s="573"/>
      <c r="BK29" s="573"/>
      <c r="BL29" s="573"/>
      <c r="BM29" s="939"/>
    </row>
    <row r="30" spans="1:65" ht="65.099999999999994" customHeight="1">
      <c r="A30" s="953"/>
      <c r="B30" s="949"/>
      <c r="C30" s="686"/>
      <c r="D30" s="401"/>
      <c r="E30" s="401"/>
      <c r="F30" s="948"/>
      <c r="G30" s="947"/>
      <c r="H30" s="375"/>
      <c r="I30" s="375"/>
      <c r="J30" s="375"/>
      <c r="K30" s="402"/>
      <c r="L30" s="403"/>
      <c r="M30" s="689"/>
      <c r="N30" s="943"/>
      <c r="O30" s="945"/>
      <c r="P30" s="943"/>
      <c r="Q30" s="565"/>
      <c r="R30" s="565"/>
      <c r="S30" s="332"/>
      <c r="T30" s="332"/>
      <c r="U30" s="347" t="s">
        <v>1179</v>
      </c>
      <c r="V30" s="347"/>
      <c r="W30" s="408"/>
      <c r="X30" s="408"/>
      <c r="Y30" s="332" t="str">
        <f t="shared" si="3"/>
        <v/>
      </c>
      <c r="Z30" s="408"/>
      <c r="AA30" s="332" t="str">
        <f t="shared" si="4"/>
        <v/>
      </c>
      <c r="AB30" s="332"/>
      <c r="AC30" s="332" t="str">
        <f t="shared" si="5"/>
        <v/>
      </c>
      <c r="AD30" s="332"/>
      <c r="AE30" s="332" t="str">
        <f t="shared" si="6"/>
        <v/>
      </c>
      <c r="AF30" s="332"/>
      <c r="AG30" s="332" t="str">
        <f t="shared" si="7"/>
        <v/>
      </c>
      <c r="AH30" s="332"/>
      <c r="AI30" s="332" t="str">
        <f t="shared" si="8"/>
        <v/>
      </c>
      <c r="AJ30" s="332"/>
      <c r="AK30" s="333" t="str">
        <f t="shared" si="0"/>
        <v/>
      </c>
      <c r="AL30" s="404" t="str">
        <f t="shared" si="11"/>
        <v/>
      </c>
      <c r="AM30" s="404" t="str">
        <f t="shared" si="9"/>
        <v/>
      </c>
      <c r="AN30" s="405"/>
      <c r="AO30" s="405"/>
      <c r="AP30" s="405"/>
      <c r="AQ30" s="405"/>
      <c r="AR30" s="405"/>
      <c r="AS30" s="405"/>
      <c r="AT30" s="405"/>
      <c r="AU30" s="400" t="str">
        <f>IFERROR(VLOOKUP(AT30,'Seguridad Información'!$I$61:$J$65,2,0),"")</f>
        <v/>
      </c>
      <c r="AV30" s="400"/>
      <c r="AW30" s="406" t="str">
        <f t="shared" si="1"/>
        <v/>
      </c>
      <c r="AX30" s="404" t="str">
        <f t="shared" si="2"/>
        <v/>
      </c>
      <c r="AY30" s="406" t="str">
        <f>IFERROR(VLOOKUP((CONCATENATE(AM30,AX30)),Listados!$U$3:$V$11,2,FALSE),"")</f>
        <v/>
      </c>
      <c r="AZ30" s="404">
        <f t="shared" si="10"/>
        <v>100</v>
      </c>
      <c r="BA30" s="942"/>
      <c r="BB30" s="942"/>
      <c r="BC30" s="407">
        <f>+IF(AND(W30="Preventivo",BB25="Fuerte"),2,IF(AND(W30="Preventivo",BB25="Moderado"),1,0))</f>
        <v>0</v>
      </c>
      <c r="BD30" s="407">
        <f>+IF(AND(W30="Detectivo/Correctivo",$BB25="Fuerte"),2,IF(AND(W30="Detectivo/Correctivo",$BB30="Moderado"),1,IF(AND(W30="Preventivo",$BB25="Fuerte"),1,0)))</f>
        <v>0</v>
      </c>
      <c r="BE30" s="407" t="e">
        <f>+N25-BC30</f>
        <v>#N/A</v>
      </c>
      <c r="BF30" s="407" t="e">
        <f>+P25-BD30</f>
        <v>#N/A</v>
      </c>
      <c r="BG30" s="565"/>
      <c r="BH30" s="565"/>
      <c r="BI30" s="565"/>
      <c r="BJ30" s="573"/>
      <c r="BK30" s="573"/>
      <c r="BL30" s="573"/>
      <c r="BM30" s="939"/>
    </row>
    <row r="31" spans="1:65" ht="65.099999999999994" customHeight="1">
      <c r="A31" s="953">
        <v>5</v>
      </c>
      <c r="B31" s="949"/>
      <c r="C31" s="686" t="str">
        <f>IFERROR(VLOOKUP(B31,Listados!B$3:C$20,2,FALSE),"")</f>
        <v/>
      </c>
      <c r="D31" s="401"/>
      <c r="E31" s="401"/>
      <c r="F31" s="948"/>
      <c r="G31" s="947"/>
      <c r="H31" s="375"/>
      <c r="I31" s="375"/>
      <c r="J31" s="375"/>
      <c r="K31" s="402"/>
      <c r="L31" s="403"/>
      <c r="M31" s="689"/>
      <c r="N31" s="943" t="e">
        <f>+VLOOKUP(M31,Listados!$K$8:$L$12,2,0)</f>
        <v>#N/A</v>
      </c>
      <c r="O31" s="945"/>
      <c r="P31" s="943" t="e">
        <f>+VLOOKUP(O31,Listados!$K$13:$L$17,2,0)</f>
        <v>#N/A</v>
      </c>
      <c r="Q31" s="565" t="str">
        <f>IF(AND(M31&lt;&gt;"",O31&lt;&gt;""),VLOOKUP(M31&amp;O31,Listados!$M$3:$N$27,2,FALSE),"")</f>
        <v/>
      </c>
      <c r="R31" s="565" t="e">
        <f>+VLOOKUP(Q31,Listados!$P$3:$Q$6,2,FALSE)</f>
        <v>#N/A</v>
      </c>
      <c r="S31" s="332"/>
      <c r="T31" s="332"/>
      <c r="U31" s="347" t="s">
        <v>1179</v>
      </c>
      <c r="V31" s="408"/>
      <c r="W31" s="408"/>
      <c r="X31" s="408"/>
      <c r="Y31" s="332" t="str">
        <f t="shared" si="3"/>
        <v/>
      </c>
      <c r="Z31" s="408"/>
      <c r="AA31" s="332" t="str">
        <f t="shared" si="4"/>
        <v/>
      </c>
      <c r="AB31" s="332"/>
      <c r="AC31" s="332" t="str">
        <f t="shared" si="5"/>
        <v/>
      </c>
      <c r="AD31" s="332"/>
      <c r="AE31" s="332" t="str">
        <f t="shared" si="6"/>
        <v/>
      </c>
      <c r="AF31" s="332"/>
      <c r="AG31" s="332" t="str">
        <f t="shared" si="7"/>
        <v/>
      </c>
      <c r="AH31" s="332"/>
      <c r="AI31" s="332" t="str">
        <f t="shared" si="8"/>
        <v/>
      </c>
      <c r="AJ31" s="332"/>
      <c r="AK31" s="333" t="str">
        <f t="shared" si="0"/>
        <v/>
      </c>
      <c r="AL31" s="404" t="str">
        <f t="shared" si="11"/>
        <v/>
      </c>
      <c r="AM31" s="404" t="str">
        <f t="shared" si="9"/>
        <v/>
      </c>
      <c r="AN31" s="405"/>
      <c r="AO31" s="405"/>
      <c r="AP31" s="405"/>
      <c r="AQ31" s="405"/>
      <c r="AR31" s="405"/>
      <c r="AS31" s="405"/>
      <c r="AT31" s="405"/>
      <c r="AU31" s="400" t="str">
        <f>IFERROR(VLOOKUP(AT31,'Seguridad Información'!$I$61:$J$65,2,0),"")</f>
        <v/>
      </c>
      <c r="AV31" s="400"/>
      <c r="AW31" s="406" t="str">
        <f t="shared" si="1"/>
        <v/>
      </c>
      <c r="AX31" s="404" t="str">
        <f t="shared" si="2"/>
        <v/>
      </c>
      <c r="AY31" s="406" t="str">
        <f>IFERROR(VLOOKUP((CONCATENATE(AM31,AX31)),Listados!$U$3:$V$11,2,FALSE),"")</f>
        <v/>
      </c>
      <c r="AZ31" s="404">
        <f t="shared" si="10"/>
        <v>100</v>
      </c>
      <c r="BA31" s="942">
        <f>AVERAGE(AZ31:AZ36)</f>
        <v>100</v>
      </c>
      <c r="BB31" s="942" t="str">
        <f>IF(BA31&lt;=50, "Débil", IF(BA31&lt;=99,"Moderado","Fuerte"))</f>
        <v>Fuerte</v>
      </c>
      <c r="BC31" s="407">
        <f>+IF(AND(W31="Preventivo",BB31="Fuerte"),2,IF(AND(W31="Preventivo",BB31="Moderado"),1,0))</f>
        <v>0</v>
      </c>
      <c r="BD31" s="407">
        <f>+IF(AND(W31="Detectivo/Correctivo",$BB31="Fuerte"),2,IF(AND(W31="Detectivo/Correctivo",$BB31="Moderado"),1,IF(AND(W31="Preventivo",$BB31="Fuerte"),1,0)))</f>
        <v>0</v>
      </c>
      <c r="BE31" s="407" t="e">
        <f>+N31-BC31</f>
        <v>#N/A</v>
      </c>
      <c r="BF31" s="407" t="e">
        <f>+P31-BD31</f>
        <v>#N/A</v>
      </c>
      <c r="BG31" s="565" t="e">
        <f>+VLOOKUP(MIN(BE31,BE32,BE33,BE34,BE35,BE36),Listados!$J$18:$K$24,2,TRUE)</f>
        <v>#N/A</v>
      </c>
      <c r="BH31" s="565" t="e">
        <f>+VLOOKUP(MIN(BF31,BF32,BF33,BF34,BF35,BF36),Listados!$J$26:$K$32,2,TRUE)</f>
        <v>#N/A</v>
      </c>
      <c r="BI31" s="565" t="e">
        <f>IF(AND(BG31&lt;&gt;"",BH31&lt;&gt;""),VLOOKUP(BG31&amp;BH31,Listados!$M$3:$N$27,2,FALSE),"")</f>
        <v>#N/A</v>
      </c>
      <c r="BJ31" s="573" t="e">
        <f>+IF($R31="Asumir el riesgo","NA","")</f>
        <v>#N/A</v>
      </c>
      <c r="BK31" s="573" t="e">
        <f>+IF($R31="Asumir el riesgo","NA","")</f>
        <v>#N/A</v>
      </c>
      <c r="BL31" s="573" t="e">
        <f>+IF($R31="Asumir el riesgo","NA","")</f>
        <v>#N/A</v>
      </c>
      <c r="BM31" s="939" t="e">
        <f>+IF($R31="Asumir el riesgo","NA","")</f>
        <v>#N/A</v>
      </c>
    </row>
    <row r="32" spans="1:65" ht="65.099999999999994" customHeight="1">
      <c r="A32" s="953"/>
      <c r="B32" s="949"/>
      <c r="C32" s="686"/>
      <c r="D32" s="401"/>
      <c r="E32" s="401"/>
      <c r="F32" s="948"/>
      <c r="G32" s="947"/>
      <c r="H32" s="375"/>
      <c r="I32" s="375"/>
      <c r="J32" s="375"/>
      <c r="K32" s="402"/>
      <c r="L32" s="403"/>
      <c r="M32" s="689"/>
      <c r="N32" s="943"/>
      <c r="O32" s="945"/>
      <c r="P32" s="943"/>
      <c r="Q32" s="565"/>
      <c r="R32" s="565"/>
      <c r="S32" s="332"/>
      <c r="T32" s="332"/>
      <c r="U32" s="347" t="s">
        <v>1179</v>
      </c>
      <c r="V32" s="408"/>
      <c r="W32" s="408"/>
      <c r="X32" s="408"/>
      <c r="Y32" s="332" t="str">
        <f t="shared" si="3"/>
        <v/>
      </c>
      <c r="Z32" s="408"/>
      <c r="AA32" s="332" t="str">
        <f t="shared" si="4"/>
        <v/>
      </c>
      <c r="AB32" s="332"/>
      <c r="AC32" s="332" t="str">
        <f t="shared" si="5"/>
        <v/>
      </c>
      <c r="AD32" s="332"/>
      <c r="AE32" s="332" t="str">
        <f t="shared" si="6"/>
        <v/>
      </c>
      <c r="AF32" s="332"/>
      <c r="AG32" s="332" t="str">
        <f t="shared" si="7"/>
        <v/>
      </c>
      <c r="AH32" s="332"/>
      <c r="AI32" s="332" t="str">
        <f t="shared" si="8"/>
        <v/>
      </c>
      <c r="AJ32" s="332"/>
      <c r="AK32" s="333" t="str">
        <f t="shared" si="0"/>
        <v/>
      </c>
      <c r="AL32" s="404" t="str">
        <f t="shared" si="11"/>
        <v/>
      </c>
      <c r="AM32" s="404" t="str">
        <f t="shared" si="9"/>
        <v/>
      </c>
      <c r="AN32" s="405"/>
      <c r="AO32" s="405"/>
      <c r="AP32" s="405"/>
      <c r="AQ32" s="405"/>
      <c r="AR32" s="405"/>
      <c r="AS32" s="405"/>
      <c r="AT32" s="405"/>
      <c r="AU32" s="400" t="str">
        <f>IFERROR(VLOOKUP(AT32,'Seguridad Información'!$I$61:$J$65,2,0),"")</f>
        <v/>
      </c>
      <c r="AV32" s="400"/>
      <c r="AW32" s="406" t="str">
        <f t="shared" si="1"/>
        <v/>
      </c>
      <c r="AX32" s="404" t="str">
        <f t="shared" si="2"/>
        <v/>
      </c>
      <c r="AY32" s="406" t="str">
        <f>IFERROR(VLOOKUP((CONCATENATE(AM32,AX32)),Listados!$U$3:$V$11,2,FALSE),"")</f>
        <v/>
      </c>
      <c r="AZ32" s="404">
        <f t="shared" si="10"/>
        <v>100</v>
      </c>
      <c r="BA32" s="942"/>
      <c r="BB32" s="942"/>
      <c r="BC32" s="407">
        <f>+IF(AND(W32="Preventivo",BB31="Fuerte"),2,IF(AND(W32="Preventivo",BB31="Moderado"),1,0))</f>
        <v>0</v>
      </c>
      <c r="BD32" s="407">
        <f>+IF(AND(W32="Detectivo/Correctivo",$BB31="Fuerte"),2,IF(AND(W32="Detectivo/Correctivo",$BB32="Moderado"),1,IF(AND(W32="Preventivo",$BB31="Fuerte"),1,0)))</f>
        <v>0</v>
      </c>
      <c r="BE32" s="407" t="e">
        <f>+N31-BC32</f>
        <v>#N/A</v>
      </c>
      <c r="BF32" s="407" t="e">
        <f>+P31-BD32</f>
        <v>#N/A</v>
      </c>
      <c r="BG32" s="565"/>
      <c r="BH32" s="565"/>
      <c r="BI32" s="565"/>
      <c r="BJ32" s="573"/>
      <c r="BK32" s="573"/>
      <c r="BL32" s="573"/>
      <c r="BM32" s="939"/>
    </row>
    <row r="33" spans="1:65" ht="65.099999999999994" customHeight="1">
      <c r="A33" s="953"/>
      <c r="B33" s="949"/>
      <c r="C33" s="686"/>
      <c r="D33" s="401"/>
      <c r="E33" s="401"/>
      <c r="F33" s="948"/>
      <c r="G33" s="947"/>
      <c r="H33" s="375"/>
      <c r="I33" s="375"/>
      <c r="J33" s="375"/>
      <c r="K33" s="402"/>
      <c r="L33" s="403"/>
      <c r="M33" s="689"/>
      <c r="N33" s="943"/>
      <c r="O33" s="945"/>
      <c r="P33" s="943"/>
      <c r="Q33" s="565"/>
      <c r="R33" s="565"/>
      <c r="S33" s="332"/>
      <c r="T33" s="332"/>
      <c r="U33" s="347" t="s">
        <v>1179</v>
      </c>
      <c r="V33" s="408"/>
      <c r="W33" s="408"/>
      <c r="X33" s="408"/>
      <c r="Y33" s="332" t="str">
        <f t="shared" si="3"/>
        <v/>
      </c>
      <c r="Z33" s="408"/>
      <c r="AA33" s="332" t="str">
        <f t="shared" si="4"/>
        <v/>
      </c>
      <c r="AB33" s="332"/>
      <c r="AC33" s="332" t="str">
        <f t="shared" si="5"/>
        <v/>
      </c>
      <c r="AD33" s="332"/>
      <c r="AE33" s="332" t="str">
        <f t="shared" si="6"/>
        <v/>
      </c>
      <c r="AF33" s="332"/>
      <c r="AG33" s="332" t="str">
        <f t="shared" si="7"/>
        <v/>
      </c>
      <c r="AH33" s="332"/>
      <c r="AI33" s="332" t="str">
        <f t="shared" si="8"/>
        <v/>
      </c>
      <c r="AJ33" s="332"/>
      <c r="AK33" s="333" t="str">
        <f t="shared" si="0"/>
        <v/>
      </c>
      <c r="AL33" s="404" t="str">
        <f t="shared" si="11"/>
        <v/>
      </c>
      <c r="AM33" s="404" t="str">
        <f t="shared" si="9"/>
        <v/>
      </c>
      <c r="AN33" s="405"/>
      <c r="AO33" s="405"/>
      <c r="AP33" s="405"/>
      <c r="AQ33" s="405"/>
      <c r="AR33" s="405"/>
      <c r="AS33" s="405"/>
      <c r="AT33" s="405"/>
      <c r="AU33" s="400" t="str">
        <f>IFERROR(VLOOKUP(AT33,'Seguridad Información'!$I$61:$J$65,2,0),"")</f>
        <v/>
      </c>
      <c r="AV33" s="400"/>
      <c r="AW33" s="406" t="str">
        <f t="shared" si="1"/>
        <v/>
      </c>
      <c r="AX33" s="404" t="str">
        <f t="shared" si="2"/>
        <v/>
      </c>
      <c r="AY33" s="406" t="str">
        <f>IFERROR(VLOOKUP((CONCATENATE(AM33,AX33)),Listados!$U$3:$V$11,2,FALSE),"")</f>
        <v/>
      </c>
      <c r="AZ33" s="404">
        <f t="shared" si="10"/>
        <v>100</v>
      </c>
      <c r="BA33" s="942"/>
      <c r="BB33" s="942"/>
      <c r="BC33" s="407">
        <f>+IF(AND(W33="Preventivo",BB31="Fuerte"),2,IF(AND(W33="Preventivo",BB31="Moderado"),1,0))</f>
        <v>0</v>
      </c>
      <c r="BD33" s="407">
        <f>+IF(AND(W33="Detectivo/Correctivo",$BB31="Fuerte"),2,IF(AND(W33="Detectivo/Correctivo",$BB33="Moderado"),1,IF(AND(W33="Preventivo",$BB31="Fuerte"),1,0)))</f>
        <v>0</v>
      </c>
      <c r="BE33" s="407" t="e">
        <f>+N31-BC33</f>
        <v>#N/A</v>
      </c>
      <c r="BF33" s="407" t="e">
        <f>+P31-BD33</f>
        <v>#N/A</v>
      </c>
      <c r="BG33" s="565"/>
      <c r="BH33" s="565"/>
      <c r="BI33" s="565"/>
      <c r="BJ33" s="573"/>
      <c r="BK33" s="573"/>
      <c r="BL33" s="573"/>
      <c r="BM33" s="939"/>
    </row>
    <row r="34" spans="1:65" ht="65.099999999999994" customHeight="1">
      <c r="A34" s="953"/>
      <c r="B34" s="949"/>
      <c r="C34" s="686"/>
      <c r="D34" s="401"/>
      <c r="E34" s="401"/>
      <c r="F34" s="948"/>
      <c r="G34" s="947"/>
      <c r="H34" s="375"/>
      <c r="I34" s="375"/>
      <c r="J34" s="375"/>
      <c r="K34" s="402"/>
      <c r="L34" s="403"/>
      <c r="M34" s="689"/>
      <c r="N34" s="943"/>
      <c r="O34" s="945"/>
      <c r="P34" s="943"/>
      <c r="Q34" s="565"/>
      <c r="R34" s="565"/>
      <c r="S34" s="332"/>
      <c r="T34" s="332"/>
      <c r="U34" s="347" t="s">
        <v>1179</v>
      </c>
      <c r="V34" s="408"/>
      <c r="W34" s="408"/>
      <c r="X34" s="408"/>
      <c r="Y34" s="332" t="str">
        <f t="shared" si="3"/>
        <v/>
      </c>
      <c r="Z34" s="408"/>
      <c r="AA34" s="332" t="str">
        <f t="shared" si="4"/>
        <v/>
      </c>
      <c r="AB34" s="332"/>
      <c r="AC34" s="332" t="str">
        <f t="shared" si="5"/>
        <v/>
      </c>
      <c r="AD34" s="332"/>
      <c r="AE34" s="332" t="str">
        <f t="shared" si="6"/>
        <v/>
      </c>
      <c r="AF34" s="332"/>
      <c r="AG34" s="332" t="str">
        <f t="shared" si="7"/>
        <v/>
      </c>
      <c r="AH34" s="332"/>
      <c r="AI34" s="332" t="str">
        <f t="shared" si="8"/>
        <v/>
      </c>
      <c r="AJ34" s="332"/>
      <c r="AK34" s="333" t="str">
        <f t="shared" si="0"/>
        <v/>
      </c>
      <c r="AL34" s="404" t="str">
        <f t="shared" si="11"/>
        <v/>
      </c>
      <c r="AM34" s="404" t="str">
        <f t="shared" si="9"/>
        <v/>
      </c>
      <c r="AN34" s="405"/>
      <c r="AO34" s="405"/>
      <c r="AP34" s="405"/>
      <c r="AQ34" s="405"/>
      <c r="AR34" s="405"/>
      <c r="AS34" s="405"/>
      <c r="AT34" s="405"/>
      <c r="AU34" s="400" t="str">
        <f>IFERROR(VLOOKUP(AT34,'Seguridad Información'!$I$61:$J$65,2,0),"")</f>
        <v/>
      </c>
      <c r="AV34" s="400"/>
      <c r="AW34" s="406" t="str">
        <f t="shared" si="1"/>
        <v/>
      </c>
      <c r="AX34" s="404" t="str">
        <f t="shared" si="2"/>
        <v/>
      </c>
      <c r="AY34" s="406" t="str">
        <f>IFERROR(VLOOKUP((CONCATENATE(AM34,AX34)),Listados!$U$3:$V$11,2,FALSE),"")</f>
        <v/>
      </c>
      <c r="AZ34" s="404">
        <f t="shared" si="10"/>
        <v>100</v>
      </c>
      <c r="BA34" s="942"/>
      <c r="BB34" s="942"/>
      <c r="BC34" s="407">
        <f>+IF(AND(W34="Preventivo",BB31="Fuerte"),2,IF(AND(W34="Preventivo",BB31="Moderado"),1,0))</f>
        <v>0</v>
      </c>
      <c r="BD34" s="407">
        <f>+IF(AND(W34="Detectivo/Correctivo",$BB31="Fuerte"),2,IF(AND(W34="Detectivo/Correctivo",$BB34="Moderado"),1,IF(AND(W34="Preventivo",$BB31="Fuerte"),1,0)))</f>
        <v>0</v>
      </c>
      <c r="BE34" s="407" t="e">
        <f>+N31-BC34</f>
        <v>#N/A</v>
      </c>
      <c r="BF34" s="407" t="e">
        <f>+P31-BD34</f>
        <v>#N/A</v>
      </c>
      <c r="BG34" s="565"/>
      <c r="BH34" s="565"/>
      <c r="BI34" s="565"/>
      <c r="BJ34" s="573"/>
      <c r="BK34" s="573"/>
      <c r="BL34" s="573"/>
      <c r="BM34" s="939"/>
    </row>
    <row r="35" spans="1:65" ht="65.099999999999994" customHeight="1">
      <c r="A35" s="953"/>
      <c r="B35" s="949"/>
      <c r="C35" s="686"/>
      <c r="D35" s="401"/>
      <c r="E35" s="401"/>
      <c r="F35" s="948"/>
      <c r="G35" s="947"/>
      <c r="H35" s="375"/>
      <c r="I35" s="375"/>
      <c r="J35" s="375"/>
      <c r="K35" s="402"/>
      <c r="L35" s="403"/>
      <c r="M35" s="689"/>
      <c r="N35" s="943"/>
      <c r="O35" s="945"/>
      <c r="P35" s="943"/>
      <c r="Q35" s="565"/>
      <c r="R35" s="565"/>
      <c r="S35" s="332"/>
      <c r="T35" s="332"/>
      <c r="U35" s="347" t="s">
        <v>1179</v>
      </c>
      <c r="V35" s="408"/>
      <c r="W35" s="408"/>
      <c r="X35" s="408"/>
      <c r="Y35" s="332" t="str">
        <f t="shared" si="3"/>
        <v/>
      </c>
      <c r="Z35" s="408"/>
      <c r="AA35" s="332" t="str">
        <f t="shared" si="4"/>
        <v/>
      </c>
      <c r="AB35" s="332"/>
      <c r="AC35" s="332" t="str">
        <f t="shared" si="5"/>
        <v/>
      </c>
      <c r="AD35" s="332"/>
      <c r="AE35" s="332" t="str">
        <f t="shared" si="6"/>
        <v/>
      </c>
      <c r="AF35" s="332"/>
      <c r="AG35" s="332" t="str">
        <f t="shared" si="7"/>
        <v/>
      </c>
      <c r="AH35" s="332"/>
      <c r="AI35" s="332" t="str">
        <f t="shared" si="8"/>
        <v/>
      </c>
      <c r="AJ35" s="332"/>
      <c r="AK35" s="333" t="str">
        <f t="shared" si="0"/>
        <v/>
      </c>
      <c r="AL35" s="404" t="str">
        <f t="shared" si="11"/>
        <v/>
      </c>
      <c r="AM35" s="404" t="str">
        <f t="shared" si="9"/>
        <v/>
      </c>
      <c r="AN35" s="405"/>
      <c r="AO35" s="405"/>
      <c r="AP35" s="405"/>
      <c r="AQ35" s="405"/>
      <c r="AR35" s="405"/>
      <c r="AS35" s="405"/>
      <c r="AT35" s="405"/>
      <c r="AU35" s="400" t="str">
        <f>IFERROR(VLOOKUP(AT35,'Seguridad Información'!$I$61:$J$65,2,0),"")</f>
        <v/>
      </c>
      <c r="AV35" s="400"/>
      <c r="AW35" s="406" t="str">
        <f t="shared" si="1"/>
        <v/>
      </c>
      <c r="AX35" s="404" t="str">
        <f t="shared" si="2"/>
        <v/>
      </c>
      <c r="AY35" s="406" t="str">
        <f>IFERROR(VLOOKUP((CONCATENATE(AM35,AX35)),Listados!$U$3:$V$11,2,FALSE),"")</f>
        <v/>
      </c>
      <c r="AZ35" s="404">
        <f t="shared" si="10"/>
        <v>100</v>
      </c>
      <c r="BA35" s="942"/>
      <c r="BB35" s="942"/>
      <c r="BC35" s="407">
        <f>+IF(AND(W35="Preventivo",BB31="Fuerte"),2,IF(AND(W35="Preventivo",BB31="Moderado"),1,0))</f>
        <v>0</v>
      </c>
      <c r="BD35" s="407">
        <f>+IF(AND(W35="Detectivo/Correctivo",$BB31="Fuerte"),2,IF(AND(W35="Detectivo/Correctivo",$BB35="Moderado"),1,IF(AND(W35="Preventivo",$BB31="Fuerte"),1,0)))</f>
        <v>0</v>
      </c>
      <c r="BE35" s="407" t="e">
        <f>+N31-BC35</f>
        <v>#N/A</v>
      </c>
      <c r="BF35" s="407" t="e">
        <f>+P31-BD35</f>
        <v>#N/A</v>
      </c>
      <c r="BG35" s="565"/>
      <c r="BH35" s="565"/>
      <c r="BI35" s="565"/>
      <c r="BJ35" s="573"/>
      <c r="BK35" s="573"/>
      <c r="BL35" s="573"/>
      <c r="BM35" s="939"/>
    </row>
    <row r="36" spans="1:65" ht="65.099999999999994" customHeight="1">
      <c r="A36" s="953"/>
      <c r="B36" s="949"/>
      <c r="C36" s="686"/>
      <c r="D36" s="401"/>
      <c r="E36" s="401"/>
      <c r="F36" s="948"/>
      <c r="G36" s="947"/>
      <c r="H36" s="375"/>
      <c r="I36" s="375"/>
      <c r="J36" s="375"/>
      <c r="K36" s="402"/>
      <c r="L36" s="403"/>
      <c r="M36" s="689"/>
      <c r="N36" s="943"/>
      <c r="O36" s="945"/>
      <c r="P36" s="943"/>
      <c r="Q36" s="565"/>
      <c r="R36" s="565"/>
      <c r="S36" s="332"/>
      <c r="T36" s="332"/>
      <c r="U36" s="347" t="s">
        <v>1179</v>
      </c>
      <c r="V36" s="408"/>
      <c r="W36" s="408"/>
      <c r="X36" s="408"/>
      <c r="Y36" s="332" t="str">
        <f t="shared" si="3"/>
        <v/>
      </c>
      <c r="Z36" s="408"/>
      <c r="AA36" s="332" t="str">
        <f t="shared" si="4"/>
        <v/>
      </c>
      <c r="AB36" s="332"/>
      <c r="AC36" s="332" t="str">
        <f t="shared" si="5"/>
        <v/>
      </c>
      <c r="AD36" s="332"/>
      <c r="AE36" s="332" t="str">
        <f t="shared" si="6"/>
        <v/>
      </c>
      <c r="AF36" s="332"/>
      <c r="AG36" s="332" t="str">
        <f t="shared" si="7"/>
        <v/>
      </c>
      <c r="AH36" s="332"/>
      <c r="AI36" s="332" t="str">
        <f t="shared" si="8"/>
        <v/>
      </c>
      <c r="AJ36" s="332"/>
      <c r="AK36" s="333" t="str">
        <f t="shared" si="0"/>
        <v/>
      </c>
      <c r="AL36" s="404" t="str">
        <f t="shared" si="11"/>
        <v/>
      </c>
      <c r="AM36" s="404" t="str">
        <f t="shared" si="9"/>
        <v/>
      </c>
      <c r="AN36" s="405"/>
      <c r="AO36" s="405"/>
      <c r="AP36" s="405"/>
      <c r="AQ36" s="405"/>
      <c r="AR36" s="405"/>
      <c r="AS36" s="405"/>
      <c r="AT36" s="405"/>
      <c r="AU36" s="400" t="str">
        <f>IFERROR(VLOOKUP(AT36,'Seguridad Información'!$I$61:$J$65,2,0),"")</f>
        <v/>
      </c>
      <c r="AV36" s="400"/>
      <c r="AW36" s="406" t="str">
        <f t="shared" si="1"/>
        <v/>
      </c>
      <c r="AX36" s="404" t="str">
        <f t="shared" si="2"/>
        <v/>
      </c>
      <c r="AY36" s="406" t="str">
        <f>IFERROR(VLOOKUP((CONCATENATE(AM36,AX36)),Listados!$U$3:$V$11,2,FALSE),"")</f>
        <v/>
      </c>
      <c r="AZ36" s="404">
        <f t="shared" si="10"/>
        <v>100</v>
      </c>
      <c r="BA36" s="942"/>
      <c r="BB36" s="942"/>
      <c r="BC36" s="407">
        <f>+IF(AND(W36="Preventivo",BB31="Fuerte"),2,IF(AND(W36="Preventivo",BB31="Moderado"),1,0))</f>
        <v>0</v>
      </c>
      <c r="BD36" s="407">
        <f>+IF(AND(W36="Detectivo/Correctivo",$BB31="Fuerte"),2,IF(AND(W36="Detectivo/Correctivo",$BB36="Moderado"),1,IF(AND(W36="Preventivo",$BB31="Fuerte"),1,0)))</f>
        <v>0</v>
      </c>
      <c r="BE36" s="407" t="e">
        <f>+N31-BC36</f>
        <v>#N/A</v>
      </c>
      <c r="BF36" s="407" t="e">
        <f>+P31-BD36</f>
        <v>#N/A</v>
      </c>
      <c r="BG36" s="565"/>
      <c r="BH36" s="565"/>
      <c r="BI36" s="565"/>
      <c r="BJ36" s="573"/>
      <c r="BK36" s="573"/>
      <c r="BL36" s="573"/>
      <c r="BM36" s="939"/>
    </row>
    <row r="37" spans="1:65" ht="65.099999999999994" customHeight="1">
      <c r="A37" s="953">
        <v>6</v>
      </c>
      <c r="B37" s="949"/>
      <c r="C37" s="686" t="str">
        <f>IFERROR(VLOOKUP(B37,Listados!B$3:C$20,2,FALSE),"")</f>
        <v/>
      </c>
      <c r="D37" s="401"/>
      <c r="E37" s="401"/>
      <c r="F37" s="948"/>
      <c r="G37" s="947"/>
      <c r="H37" s="375"/>
      <c r="I37" s="375"/>
      <c r="J37" s="375"/>
      <c r="K37" s="402"/>
      <c r="L37" s="403"/>
      <c r="M37" s="689"/>
      <c r="N37" s="943" t="e">
        <f>+VLOOKUP(M37,Listados!$K$8:$L$12,2,0)</f>
        <v>#N/A</v>
      </c>
      <c r="O37" s="945"/>
      <c r="P37" s="943" t="e">
        <f>+VLOOKUP(O37,Listados!$K$13:$L$17,2,0)</f>
        <v>#N/A</v>
      </c>
      <c r="Q37" s="565" t="str">
        <f>IF(AND(M37&lt;&gt;"",O37&lt;&gt;""),VLOOKUP(M37&amp;O37,Listados!$M$3:$N$27,2,FALSE),"")</f>
        <v/>
      </c>
      <c r="R37" s="565" t="e">
        <f>+VLOOKUP(Q37,Listados!$P$3:$Q$6,2,FALSE)</f>
        <v>#N/A</v>
      </c>
      <c r="S37" s="332"/>
      <c r="T37" s="332"/>
      <c r="U37" s="347" t="s">
        <v>1179</v>
      </c>
      <c r="V37" s="408"/>
      <c r="W37" s="408"/>
      <c r="X37" s="408"/>
      <c r="Y37" s="332" t="str">
        <f t="shared" si="3"/>
        <v/>
      </c>
      <c r="Z37" s="408"/>
      <c r="AA37" s="332" t="str">
        <f t="shared" si="4"/>
        <v/>
      </c>
      <c r="AB37" s="332"/>
      <c r="AC37" s="332" t="str">
        <f t="shared" si="5"/>
        <v/>
      </c>
      <c r="AD37" s="332"/>
      <c r="AE37" s="332" t="str">
        <f t="shared" si="6"/>
        <v/>
      </c>
      <c r="AF37" s="332"/>
      <c r="AG37" s="332" t="str">
        <f t="shared" si="7"/>
        <v/>
      </c>
      <c r="AH37" s="332"/>
      <c r="AI37" s="332" t="str">
        <f t="shared" si="8"/>
        <v/>
      </c>
      <c r="AJ37" s="332"/>
      <c r="AK37" s="333" t="str">
        <f t="shared" si="0"/>
        <v/>
      </c>
      <c r="AL37" s="404" t="str">
        <f t="shared" si="11"/>
        <v/>
      </c>
      <c r="AM37" s="404" t="str">
        <f t="shared" si="9"/>
        <v/>
      </c>
      <c r="AN37" s="405"/>
      <c r="AO37" s="405"/>
      <c r="AP37" s="405"/>
      <c r="AQ37" s="405"/>
      <c r="AR37" s="405"/>
      <c r="AS37" s="405"/>
      <c r="AT37" s="405"/>
      <c r="AU37" s="400" t="str">
        <f>IFERROR(VLOOKUP(AT37,'Seguridad Información'!$I$61:$J$65,2,0),"")</f>
        <v/>
      </c>
      <c r="AV37" s="400"/>
      <c r="AW37" s="406" t="str">
        <f t="shared" si="1"/>
        <v/>
      </c>
      <c r="AX37" s="404" t="str">
        <f t="shared" si="2"/>
        <v/>
      </c>
      <c r="AY37" s="406" t="str">
        <f>IFERROR(VLOOKUP((CONCATENATE(AM37,AX37)),Listados!$U$3:$V$11,2,FALSE),"")</f>
        <v/>
      </c>
      <c r="AZ37" s="404">
        <f t="shared" si="10"/>
        <v>100</v>
      </c>
      <c r="BA37" s="942">
        <f>AVERAGE(AZ37:AZ42)</f>
        <v>100</v>
      </c>
      <c r="BB37" s="942" t="str">
        <f>IF(BA37&lt;=50, "Débil", IF(BA37&lt;=99,"Moderado","Fuerte"))</f>
        <v>Fuerte</v>
      </c>
      <c r="BC37" s="407">
        <f>+IF(AND(W37="Preventivo",BB37="Fuerte"),2,IF(AND(W37="Preventivo",BB37="Moderado"),1,0))</f>
        <v>0</v>
      </c>
      <c r="BD37" s="407">
        <f>+IF(AND(W37="Detectivo/Correctivo",$BB37="Fuerte"),2,IF(AND(W37="Detectivo/Correctivo",$BB37="Moderado"),1,IF(AND(W37="Preventivo",$BB37="Fuerte"),1,0)))</f>
        <v>0</v>
      </c>
      <c r="BE37" s="407" t="e">
        <f>+N37-BC37</f>
        <v>#N/A</v>
      </c>
      <c r="BF37" s="407" t="e">
        <f>+P37-BD37</f>
        <v>#N/A</v>
      </c>
      <c r="BG37" s="565" t="e">
        <f>+VLOOKUP(MIN(BE37,BE38,BE39,BE40,BE41,BE42),Listados!$J$18:$K$24,2,TRUE)</f>
        <v>#N/A</v>
      </c>
      <c r="BH37" s="565" t="e">
        <f>+VLOOKUP(MIN(BF37,BF38,BF39,BF40,BF41,BF42),Listados!$J$26:$K$32,2,TRUE)</f>
        <v>#N/A</v>
      </c>
      <c r="BI37" s="565" t="e">
        <f>IF(AND(BG37&lt;&gt;"",BH37&lt;&gt;""),VLOOKUP(BG37&amp;BH37,Listados!$M$3:$N$27,2,FALSE),"")</f>
        <v>#N/A</v>
      </c>
      <c r="BJ37" s="573" t="e">
        <f>+IF($R37="Asumir el riesgo","NA","")</f>
        <v>#N/A</v>
      </c>
      <c r="BK37" s="573" t="e">
        <f>+IF($R37="Asumir el riesgo","NA","")</f>
        <v>#N/A</v>
      </c>
      <c r="BL37" s="573" t="e">
        <f>+IF($R37="Asumir el riesgo","NA","")</f>
        <v>#N/A</v>
      </c>
      <c r="BM37" s="939" t="e">
        <f>+IF($R37="Asumir el riesgo","NA","")</f>
        <v>#N/A</v>
      </c>
    </row>
    <row r="38" spans="1:65" ht="65.099999999999994" customHeight="1">
      <c r="A38" s="953"/>
      <c r="B38" s="949"/>
      <c r="C38" s="686"/>
      <c r="D38" s="401"/>
      <c r="E38" s="401"/>
      <c r="F38" s="948"/>
      <c r="G38" s="947"/>
      <c r="H38" s="375"/>
      <c r="I38" s="375"/>
      <c r="J38" s="375"/>
      <c r="K38" s="402"/>
      <c r="L38" s="403"/>
      <c r="M38" s="689"/>
      <c r="N38" s="943"/>
      <c r="O38" s="945"/>
      <c r="P38" s="943"/>
      <c r="Q38" s="565"/>
      <c r="R38" s="565"/>
      <c r="S38" s="332"/>
      <c r="T38" s="332"/>
      <c r="U38" s="347" t="s">
        <v>1179</v>
      </c>
      <c r="V38" s="408"/>
      <c r="W38" s="408"/>
      <c r="X38" s="408"/>
      <c r="Y38" s="332" t="str">
        <f t="shared" si="3"/>
        <v/>
      </c>
      <c r="Z38" s="408"/>
      <c r="AA38" s="332" t="str">
        <f t="shared" si="4"/>
        <v/>
      </c>
      <c r="AB38" s="332"/>
      <c r="AC38" s="332" t="str">
        <f t="shared" si="5"/>
        <v/>
      </c>
      <c r="AD38" s="332"/>
      <c r="AE38" s="332" t="str">
        <f t="shared" si="6"/>
        <v/>
      </c>
      <c r="AF38" s="332"/>
      <c r="AG38" s="332" t="str">
        <f t="shared" si="7"/>
        <v/>
      </c>
      <c r="AH38" s="332"/>
      <c r="AI38" s="332" t="str">
        <f t="shared" si="8"/>
        <v/>
      </c>
      <c r="AJ38" s="332"/>
      <c r="AK38" s="333" t="str">
        <f t="shared" si="0"/>
        <v/>
      </c>
      <c r="AL38" s="404" t="str">
        <f t="shared" si="11"/>
        <v/>
      </c>
      <c r="AM38" s="404" t="str">
        <f t="shared" si="9"/>
        <v/>
      </c>
      <c r="AN38" s="405"/>
      <c r="AO38" s="405"/>
      <c r="AP38" s="405"/>
      <c r="AQ38" s="405"/>
      <c r="AR38" s="405"/>
      <c r="AS38" s="405"/>
      <c r="AT38" s="405"/>
      <c r="AU38" s="400" t="str">
        <f>IFERROR(VLOOKUP(AT38,'Seguridad Información'!$I$61:$J$65,2,0),"")</f>
        <v/>
      </c>
      <c r="AV38" s="400"/>
      <c r="AW38" s="406" t="str">
        <f t="shared" si="1"/>
        <v/>
      </c>
      <c r="AX38" s="404" t="str">
        <f t="shared" si="2"/>
        <v/>
      </c>
      <c r="AY38" s="406" t="str">
        <f>IFERROR(VLOOKUP((CONCATENATE(AM38,AX38)),Listados!$U$3:$V$11,2,FALSE),"")</f>
        <v/>
      </c>
      <c r="AZ38" s="404">
        <f t="shared" si="10"/>
        <v>100</v>
      </c>
      <c r="BA38" s="942"/>
      <c r="BB38" s="942"/>
      <c r="BC38" s="407">
        <f>+IF(AND(W38="Preventivo",BB37="Fuerte"),2,IF(AND(W38="Preventivo",BB37="Moderado"),1,0))</f>
        <v>0</v>
      </c>
      <c r="BD38" s="407">
        <f>+IF(AND(W38="Detectivo/Correctivo",$BB37="Fuerte"),2,IF(AND(W38="Detectivo/Correctivo",$BB38="Moderado"),1,IF(AND(W38="Preventivo",$BB37="Fuerte"),1,0)))</f>
        <v>0</v>
      </c>
      <c r="BE38" s="407" t="e">
        <f>+N37-BC38</f>
        <v>#N/A</v>
      </c>
      <c r="BF38" s="407" t="e">
        <f>+P37-BD38</f>
        <v>#N/A</v>
      </c>
      <c r="BG38" s="565"/>
      <c r="BH38" s="565"/>
      <c r="BI38" s="565"/>
      <c r="BJ38" s="573"/>
      <c r="BK38" s="573"/>
      <c r="BL38" s="573"/>
      <c r="BM38" s="939"/>
    </row>
    <row r="39" spans="1:65" ht="65.099999999999994" customHeight="1">
      <c r="A39" s="953"/>
      <c r="B39" s="949"/>
      <c r="C39" s="686"/>
      <c r="D39" s="401"/>
      <c r="E39" s="401"/>
      <c r="F39" s="948"/>
      <c r="G39" s="947"/>
      <c r="H39" s="375"/>
      <c r="I39" s="375"/>
      <c r="J39" s="375"/>
      <c r="K39" s="402"/>
      <c r="L39" s="403"/>
      <c r="M39" s="689"/>
      <c r="N39" s="943"/>
      <c r="O39" s="945"/>
      <c r="P39" s="943"/>
      <c r="Q39" s="565"/>
      <c r="R39" s="565"/>
      <c r="S39" s="332"/>
      <c r="T39" s="332"/>
      <c r="U39" s="347" t="s">
        <v>1179</v>
      </c>
      <c r="V39" s="408"/>
      <c r="W39" s="408"/>
      <c r="X39" s="408"/>
      <c r="Y39" s="332" t="str">
        <f t="shared" si="3"/>
        <v/>
      </c>
      <c r="Z39" s="408"/>
      <c r="AA39" s="332" t="str">
        <f t="shared" si="4"/>
        <v/>
      </c>
      <c r="AB39" s="332"/>
      <c r="AC39" s="332" t="str">
        <f t="shared" si="5"/>
        <v/>
      </c>
      <c r="AD39" s="332"/>
      <c r="AE39" s="332" t="str">
        <f t="shared" si="6"/>
        <v/>
      </c>
      <c r="AF39" s="332"/>
      <c r="AG39" s="332" t="str">
        <f t="shared" si="7"/>
        <v/>
      </c>
      <c r="AH39" s="332"/>
      <c r="AI39" s="332" t="str">
        <f t="shared" si="8"/>
        <v/>
      </c>
      <c r="AJ39" s="332"/>
      <c r="AK39" s="333" t="str">
        <f t="shared" si="0"/>
        <v/>
      </c>
      <c r="AL39" s="404" t="str">
        <f t="shared" si="11"/>
        <v/>
      </c>
      <c r="AM39" s="404" t="str">
        <f t="shared" si="9"/>
        <v/>
      </c>
      <c r="AN39" s="405"/>
      <c r="AO39" s="405"/>
      <c r="AP39" s="405"/>
      <c r="AQ39" s="405"/>
      <c r="AR39" s="405"/>
      <c r="AS39" s="405"/>
      <c r="AT39" s="405"/>
      <c r="AU39" s="400" t="str">
        <f>IFERROR(VLOOKUP(AT39,'Seguridad Información'!$I$61:$J$65,2,0),"")</f>
        <v/>
      </c>
      <c r="AV39" s="400"/>
      <c r="AW39" s="406" t="str">
        <f t="shared" si="1"/>
        <v/>
      </c>
      <c r="AX39" s="404" t="str">
        <f t="shared" si="2"/>
        <v/>
      </c>
      <c r="AY39" s="406" t="str">
        <f>IFERROR(VLOOKUP((CONCATENATE(AM39,AX39)),Listados!$U$3:$V$11,2,FALSE),"")</f>
        <v/>
      </c>
      <c r="AZ39" s="404">
        <f t="shared" si="10"/>
        <v>100</v>
      </c>
      <c r="BA39" s="942"/>
      <c r="BB39" s="942"/>
      <c r="BC39" s="407">
        <f>+IF(AND(W39="Preventivo",BB37="Fuerte"),2,IF(AND(W39="Preventivo",BB37="Moderado"),1,0))</f>
        <v>0</v>
      </c>
      <c r="BD39" s="407">
        <f>+IF(AND(W39="Detectivo/Correctivo",$BB37="Fuerte"),2,IF(AND(W39="Detectivo/Correctivo",$BB39="Moderado"),1,IF(AND(W39="Preventivo",$BB37="Fuerte"),1,0)))</f>
        <v>0</v>
      </c>
      <c r="BE39" s="407" t="e">
        <f>+N37-BC39</f>
        <v>#N/A</v>
      </c>
      <c r="BF39" s="407" t="e">
        <f>+P37-BD39</f>
        <v>#N/A</v>
      </c>
      <c r="BG39" s="565"/>
      <c r="BH39" s="565"/>
      <c r="BI39" s="565"/>
      <c r="BJ39" s="573"/>
      <c r="BK39" s="573"/>
      <c r="BL39" s="573"/>
      <c r="BM39" s="939"/>
    </row>
    <row r="40" spans="1:65" ht="65.099999999999994" customHeight="1">
      <c r="A40" s="953"/>
      <c r="B40" s="949"/>
      <c r="C40" s="686"/>
      <c r="D40" s="401"/>
      <c r="E40" s="401"/>
      <c r="F40" s="948"/>
      <c r="G40" s="947"/>
      <c r="H40" s="375"/>
      <c r="I40" s="375"/>
      <c r="J40" s="375"/>
      <c r="K40" s="402"/>
      <c r="L40" s="403"/>
      <c r="M40" s="689"/>
      <c r="N40" s="943"/>
      <c r="O40" s="945"/>
      <c r="P40" s="943"/>
      <c r="Q40" s="565"/>
      <c r="R40" s="565"/>
      <c r="S40" s="332"/>
      <c r="T40" s="332"/>
      <c r="U40" s="347" t="s">
        <v>1179</v>
      </c>
      <c r="V40" s="408"/>
      <c r="W40" s="408"/>
      <c r="X40" s="408"/>
      <c r="Y40" s="332" t="str">
        <f t="shared" si="3"/>
        <v/>
      </c>
      <c r="Z40" s="408"/>
      <c r="AA40" s="332" t="str">
        <f t="shared" si="4"/>
        <v/>
      </c>
      <c r="AB40" s="332"/>
      <c r="AC40" s="332" t="str">
        <f t="shared" si="5"/>
        <v/>
      </c>
      <c r="AD40" s="332"/>
      <c r="AE40" s="332" t="str">
        <f t="shared" si="6"/>
        <v/>
      </c>
      <c r="AF40" s="332"/>
      <c r="AG40" s="332" t="str">
        <f t="shared" si="7"/>
        <v/>
      </c>
      <c r="AH40" s="332"/>
      <c r="AI40" s="332" t="str">
        <f t="shared" si="8"/>
        <v/>
      </c>
      <c r="AJ40" s="332"/>
      <c r="AK40" s="333" t="str">
        <f t="shared" si="0"/>
        <v/>
      </c>
      <c r="AL40" s="404" t="str">
        <f t="shared" si="11"/>
        <v/>
      </c>
      <c r="AM40" s="404" t="str">
        <f t="shared" si="9"/>
        <v/>
      </c>
      <c r="AN40" s="405"/>
      <c r="AO40" s="405"/>
      <c r="AP40" s="405"/>
      <c r="AQ40" s="405"/>
      <c r="AR40" s="405"/>
      <c r="AS40" s="405"/>
      <c r="AT40" s="405"/>
      <c r="AU40" s="400" t="str">
        <f>IFERROR(VLOOKUP(AT40,'Seguridad Información'!$I$61:$J$65,2,0),"")</f>
        <v/>
      </c>
      <c r="AV40" s="400"/>
      <c r="AW40" s="406" t="str">
        <f t="shared" si="1"/>
        <v/>
      </c>
      <c r="AX40" s="404" t="str">
        <f t="shared" si="2"/>
        <v/>
      </c>
      <c r="AY40" s="406" t="str">
        <f>IFERROR(VLOOKUP((CONCATENATE(AM40,AX40)),Listados!$U$3:$V$11,2,FALSE),"")</f>
        <v/>
      </c>
      <c r="AZ40" s="404">
        <f t="shared" si="10"/>
        <v>100</v>
      </c>
      <c r="BA40" s="942"/>
      <c r="BB40" s="942"/>
      <c r="BC40" s="407">
        <f>+IF(AND(W40="Preventivo",BB37="Fuerte"),2,IF(AND(W40="Preventivo",BB37="Moderado"),1,0))</f>
        <v>0</v>
      </c>
      <c r="BD40" s="407">
        <f>+IF(AND(W40="Detectivo/Correctivo",$BB37="Fuerte"),2,IF(AND(W40="Detectivo/Correctivo",$BB40="Moderado"),1,IF(AND(W40="Preventivo",$BB37="Fuerte"),1,0)))</f>
        <v>0</v>
      </c>
      <c r="BE40" s="407" t="e">
        <f>+N37-BC40</f>
        <v>#N/A</v>
      </c>
      <c r="BF40" s="407" t="e">
        <f>+P37-BD40</f>
        <v>#N/A</v>
      </c>
      <c r="BG40" s="565"/>
      <c r="BH40" s="565"/>
      <c r="BI40" s="565"/>
      <c r="BJ40" s="573"/>
      <c r="BK40" s="573"/>
      <c r="BL40" s="573"/>
      <c r="BM40" s="939"/>
    </row>
    <row r="41" spans="1:65" ht="65.099999999999994" customHeight="1">
      <c r="A41" s="953"/>
      <c r="B41" s="949"/>
      <c r="C41" s="686"/>
      <c r="D41" s="401"/>
      <c r="E41" s="401"/>
      <c r="F41" s="948"/>
      <c r="G41" s="947"/>
      <c r="H41" s="375"/>
      <c r="I41" s="375"/>
      <c r="J41" s="375"/>
      <c r="K41" s="402"/>
      <c r="L41" s="403"/>
      <c r="M41" s="689"/>
      <c r="N41" s="943"/>
      <c r="O41" s="945"/>
      <c r="P41" s="943"/>
      <c r="Q41" s="565"/>
      <c r="R41" s="565"/>
      <c r="S41" s="332"/>
      <c r="T41" s="332"/>
      <c r="U41" s="347" t="s">
        <v>1179</v>
      </c>
      <c r="V41" s="408"/>
      <c r="W41" s="408"/>
      <c r="X41" s="408"/>
      <c r="Y41" s="332" t="str">
        <f t="shared" si="3"/>
        <v/>
      </c>
      <c r="Z41" s="408"/>
      <c r="AA41" s="332" t="str">
        <f t="shared" si="4"/>
        <v/>
      </c>
      <c r="AB41" s="332"/>
      <c r="AC41" s="332" t="str">
        <f t="shared" si="5"/>
        <v/>
      </c>
      <c r="AD41" s="332"/>
      <c r="AE41" s="332" t="str">
        <f t="shared" si="6"/>
        <v/>
      </c>
      <c r="AF41" s="332"/>
      <c r="AG41" s="332" t="str">
        <f t="shared" si="7"/>
        <v/>
      </c>
      <c r="AH41" s="332"/>
      <c r="AI41" s="332" t="str">
        <f t="shared" si="8"/>
        <v/>
      </c>
      <c r="AJ41" s="332"/>
      <c r="AK41" s="333" t="str">
        <f t="shared" si="0"/>
        <v/>
      </c>
      <c r="AL41" s="404" t="str">
        <f t="shared" si="11"/>
        <v/>
      </c>
      <c r="AM41" s="404" t="str">
        <f t="shared" si="9"/>
        <v/>
      </c>
      <c r="AN41" s="405"/>
      <c r="AO41" s="405"/>
      <c r="AP41" s="405"/>
      <c r="AQ41" s="405"/>
      <c r="AR41" s="405"/>
      <c r="AS41" s="405"/>
      <c r="AT41" s="405"/>
      <c r="AU41" s="400" t="str">
        <f>IFERROR(VLOOKUP(AT41,'Seguridad Información'!$I$61:$J$65,2,0),"")</f>
        <v/>
      </c>
      <c r="AV41" s="400"/>
      <c r="AW41" s="406" t="str">
        <f t="shared" si="1"/>
        <v/>
      </c>
      <c r="AX41" s="404" t="str">
        <f t="shared" si="2"/>
        <v/>
      </c>
      <c r="AY41" s="406" t="str">
        <f>IFERROR(VLOOKUP((CONCATENATE(AM41,AX41)),Listados!$U$3:$V$11,2,FALSE),"")</f>
        <v/>
      </c>
      <c r="AZ41" s="404">
        <f t="shared" si="10"/>
        <v>100</v>
      </c>
      <c r="BA41" s="942"/>
      <c r="BB41" s="942"/>
      <c r="BC41" s="407">
        <f>+IF(AND(W41="Preventivo",BB37="Fuerte"),2,IF(AND(W41="Preventivo",BB37="Moderado"),1,0))</f>
        <v>0</v>
      </c>
      <c r="BD41" s="407">
        <f>+IF(AND(W41="Detectivo/Correctivo",$BB37="Fuerte"),2,IF(AND(W41="Detectivo/Correctivo",$BB41="Moderado"),1,IF(AND(W41="Preventivo",$BB37="Fuerte"),1,0)))</f>
        <v>0</v>
      </c>
      <c r="BE41" s="407" t="e">
        <f>+N37-BC41</f>
        <v>#N/A</v>
      </c>
      <c r="BF41" s="407" t="e">
        <f>+P37-BD41</f>
        <v>#N/A</v>
      </c>
      <c r="BG41" s="565"/>
      <c r="BH41" s="565"/>
      <c r="BI41" s="565"/>
      <c r="BJ41" s="573"/>
      <c r="BK41" s="573"/>
      <c r="BL41" s="573"/>
      <c r="BM41" s="939"/>
    </row>
    <row r="42" spans="1:65" ht="65.099999999999994" customHeight="1">
      <c r="A42" s="953"/>
      <c r="B42" s="949"/>
      <c r="C42" s="686"/>
      <c r="D42" s="401"/>
      <c r="E42" s="401"/>
      <c r="F42" s="948"/>
      <c r="G42" s="947"/>
      <c r="H42" s="375"/>
      <c r="I42" s="375"/>
      <c r="J42" s="375"/>
      <c r="K42" s="402"/>
      <c r="L42" s="403"/>
      <c r="M42" s="689"/>
      <c r="N42" s="943"/>
      <c r="O42" s="945"/>
      <c r="P42" s="943"/>
      <c r="Q42" s="565"/>
      <c r="R42" s="565"/>
      <c r="S42" s="332"/>
      <c r="T42" s="332"/>
      <c r="U42" s="347" t="s">
        <v>1179</v>
      </c>
      <c r="V42" s="408"/>
      <c r="W42" s="408"/>
      <c r="X42" s="408"/>
      <c r="Y42" s="332" t="str">
        <f t="shared" si="3"/>
        <v/>
      </c>
      <c r="Z42" s="408"/>
      <c r="AA42" s="332" t="str">
        <f t="shared" si="4"/>
        <v/>
      </c>
      <c r="AB42" s="332"/>
      <c r="AC42" s="332" t="str">
        <f t="shared" si="5"/>
        <v/>
      </c>
      <c r="AD42" s="332"/>
      <c r="AE42" s="332" t="str">
        <f t="shared" si="6"/>
        <v/>
      </c>
      <c r="AF42" s="332"/>
      <c r="AG42" s="332" t="str">
        <f t="shared" si="7"/>
        <v/>
      </c>
      <c r="AH42" s="332"/>
      <c r="AI42" s="332" t="str">
        <f t="shared" si="8"/>
        <v/>
      </c>
      <c r="AJ42" s="332"/>
      <c r="AK42" s="333" t="str">
        <f t="shared" si="0"/>
        <v/>
      </c>
      <c r="AL42" s="404" t="str">
        <f t="shared" si="11"/>
        <v/>
      </c>
      <c r="AM42" s="404" t="str">
        <f t="shared" si="9"/>
        <v/>
      </c>
      <c r="AN42" s="405"/>
      <c r="AO42" s="405"/>
      <c r="AP42" s="405"/>
      <c r="AQ42" s="405"/>
      <c r="AR42" s="405"/>
      <c r="AS42" s="405"/>
      <c r="AT42" s="405"/>
      <c r="AU42" s="400" t="str">
        <f>IFERROR(VLOOKUP(AT42,'Seguridad Información'!$I$61:$J$65,2,0),"")</f>
        <v/>
      </c>
      <c r="AV42" s="400"/>
      <c r="AW42" s="406" t="str">
        <f t="shared" si="1"/>
        <v/>
      </c>
      <c r="AX42" s="404" t="str">
        <f t="shared" si="2"/>
        <v/>
      </c>
      <c r="AY42" s="406" t="str">
        <f>IFERROR(VLOOKUP((CONCATENATE(AM42,AX42)),Listados!$U$3:$V$11,2,FALSE),"")</f>
        <v/>
      </c>
      <c r="AZ42" s="404">
        <f t="shared" si="10"/>
        <v>100</v>
      </c>
      <c r="BA42" s="942"/>
      <c r="BB42" s="942"/>
      <c r="BC42" s="407">
        <f>+IF(AND(W42="Preventivo",BB37="Fuerte"),2,IF(AND(W42="Preventivo",BB37="Moderado"),1,0))</f>
        <v>0</v>
      </c>
      <c r="BD42" s="407">
        <f>+IF(AND(W42="Detectivo/Correctivo",$BB37="Fuerte"),2,IF(AND(W42="Detectivo/Correctivo",$BB42="Moderado"),1,IF(AND(W42="Preventivo",$BB37="Fuerte"),1,0)))</f>
        <v>0</v>
      </c>
      <c r="BE42" s="407" t="e">
        <f>+N37-BC42</f>
        <v>#N/A</v>
      </c>
      <c r="BF42" s="407" t="e">
        <f>+P37-BD42</f>
        <v>#N/A</v>
      </c>
      <c r="BG42" s="565"/>
      <c r="BH42" s="565"/>
      <c r="BI42" s="565"/>
      <c r="BJ42" s="573"/>
      <c r="BK42" s="573"/>
      <c r="BL42" s="573"/>
      <c r="BM42" s="939"/>
    </row>
    <row r="43" spans="1:65" ht="65.099999999999994" customHeight="1">
      <c r="A43" s="953">
        <v>7</v>
      </c>
      <c r="B43" s="949"/>
      <c r="C43" s="686" t="str">
        <f>IFERROR(VLOOKUP(B43,Listados!B$3:C$20,2,FALSE),"")</f>
        <v/>
      </c>
      <c r="D43" s="401"/>
      <c r="E43" s="401"/>
      <c r="F43" s="948"/>
      <c r="G43" s="947"/>
      <c r="H43" s="375"/>
      <c r="I43" s="375"/>
      <c r="J43" s="375"/>
      <c r="K43" s="402"/>
      <c r="L43" s="403"/>
      <c r="M43" s="689"/>
      <c r="N43" s="943" t="e">
        <f>+VLOOKUP(M43,Listados!$K$8:$L$12,2,0)</f>
        <v>#N/A</v>
      </c>
      <c r="O43" s="945"/>
      <c r="P43" s="943" t="e">
        <f>+VLOOKUP(O43,Listados!$K$13:$L$17,2,0)</f>
        <v>#N/A</v>
      </c>
      <c r="Q43" s="565" t="str">
        <f>IF(AND(M43&lt;&gt;"",O43&lt;&gt;""),VLOOKUP(M43&amp;O43,Listados!$M$3:$N$27,2,FALSE),"")</f>
        <v/>
      </c>
      <c r="R43" s="565" t="e">
        <f>+VLOOKUP(Q43,Listados!$P$3:$Q$6,2,FALSE)</f>
        <v>#N/A</v>
      </c>
      <c r="S43" s="332"/>
      <c r="T43" s="332"/>
      <c r="U43" s="347" t="s">
        <v>1179</v>
      </c>
      <c r="V43" s="408"/>
      <c r="W43" s="408"/>
      <c r="X43" s="408"/>
      <c r="Y43" s="332" t="str">
        <f t="shared" si="3"/>
        <v/>
      </c>
      <c r="Z43" s="408"/>
      <c r="AA43" s="332" t="str">
        <f t="shared" si="4"/>
        <v/>
      </c>
      <c r="AB43" s="332"/>
      <c r="AC43" s="332" t="str">
        <f t="shared" si="5"/>
        <v/>
      </c>
      <c r="AD43" s="332"/>
      <c r="AE43" s="332" t="str">
        <f t="shared" si="6"/>
        <v/>
      </c>
      <c r="AF43" s="332"/>
      <c r="AG43" s="332" t="str">
        <f t="shared" si="7"/>
        <v/>
      </c>
      <c r="AH43" s="332"/>
      <c r="AI43" s="332" t="str">
        <f t="shared" si="8"/>
        <v/>
      </c>
      <c r="AJ43" s="332"/>
      <c r="AK43" s="333" t="str">
        <f t="shared" si="0"/>
        <v/>
      </c>
      <c r="AL43" s="404" t="str">
        <f t="shared" si="11"/>
        <v/>
      </c>
      <c r="AM43" s="404" t="str">
        <f t="shared" si="9"/>
        <v/>
      </c>
      <c r="AN43" s="405"/>
      <c r="AO43" s="405"/>
      <c r="AP43" s="405"/>
      <c r="AQ43" s="405"/>
      <c r="AR43" s="405"/>
      <c r="AS43" s="405"/>
      <c r="AT43" s="405"/>
      <c r="AU43" s="400" t="str">
        <f>IFERROR(VLOOKUP(AT43,'Seguridad Información'!$I$61:$J$65,2,0),"")</f>
        <v/>
      </c>
      <c r="AV43" s="400"/>
      <c r="AW43" s="406" t="str">
        <f t="shared" si="1"/>
        <v/>
      </c>
      <c r="AX43" s="404" t="str">
        <f t="shared" si="2"/>
        <v/>
      </c>
      <c r="AY43" s="406" t="str">
        <f>IFERROR(VLOOKUP((CONCATENATE(AM43,AX43)),Listados!$U$3:$V$11,2,FALSE),"")</f>
        <v/>
      </c>
      <c r="AZ43" s="404">
        <f t="shared" si="10"/>
        <v>100</v>
      </c>
      <c r="BA43" s="942">
        <f>AVERAGE(AZ43:AZ48)</f>
        <v>100</v>
      </c>
      <c r="BB43" s="942" t="str">
        <f>IF(BA43&lt;=50, "Débil", IF(BA43&lt;=99,"Moderado","Fuerte"))</f>
        <v>Fuerte</v>
      </c>
      <c r="BC43" s="407">
        <f>+IF(AND(W43="Preventivo",BB43="Fuerte"),2,IF(AND(W43="Preventivo",BB43="Moderado"),1,0))</f>
        <v>0</v>
      </c>
      <c r="BD43" s="407">
        <f>+IF(AND(W43="Detectivo/Correctivo",$BB43="Fuerte"),2,IF(AND(W43="Detectivo/Correctivo",$BB43="Moderado"),1,IF(AND(W43="Preventivo",$BB43="Fuerte"),1,0)))</f>
        <v>0</v>
      </c>
      <c r="BE43" s="407" t="e">
        <f>+N43-BC43</f>
        <v>#N/A</v>
      </c>
      <c r="BF43" s="407" t="e">
        <f>+P43-BD43</f>
        <v>#N/A</v>
      </c>
      <c r="BG43" s="565" t="e">
        <f>+VLOOKUP(MIN(BE43,BE44,BE45,BE46,BE47,BE48),Listados!$J$18:$K$24,2,TRUE)</f>
        <v>#N/A</v>
      </c>
      <c r="BH43" s="565" t="e">
        <f>+VLOOKUP(MIN(BF43,BF44,BF45,BF46,BF47,BF48),Listados!$J$26:$K$32,2,TRUE)</f>
        <v>#N/A</v>
      </c>
      <c r="BI43" s="565" t="e">
        <f>IF(AND(BG43&lt;&gt;"",BH43&lt;&gt;""),VLOOKUP(BG43&amp;BH43,Listados!$M$3:$N$27,2,FALSE),"")</f>
        <v>#N/A</v>
      </c>
      <c r="BJ43" s="573" t="e">
        <f>+IF($R43="Asumir el riesgo","NA","")</f>
        <v>#N/A</v>
      </c>
      <c r="BK43" s="573" t="e">
        <f>+IF($R43="Asumir el riesgo","NA","")</f>
        <v>#N/A</v>
      </c>
      <c r="BL43" s="573" t="e">
        <f>+IF($R43="Asumir el riesgo","NA","")</f>
        <v>#N/A</v>
      </c>
      <c r="BM43" s="939" t="e">
        <f>+IF($R43="Asumir el riesgo","NA","")</f>
        <v>#N/A</v>
      </c>
    </row>
    <row r="44" spans="1:65" ht="65.099999999999994" customHeight="1">
      <c r="A44" s="953"/>
      <c r="B44" s="949"/>
      <c r="C44" s="686"/>
      <c r="D44" s="401"/>
      <c r="E44" s="401"/>
      <c r="F44" s="948"/>
      <c r="G44" s="947"/>
      <c r="H44" s="375"/>
      <c r="I44" s="375"/>
      <c r="J44" s="375"/>
      <c r="K44" s="402"/>
      <c r="L44" s="403"/>
      <c r="M44" s="689"/>
      <c r="N44" s="943"/>
      <c r="O44" s="945"/>
      <c r="P44" s="943"/>
      <c r="Q44" s="565"/>
      <c r="R44" s="565"/>
      <c r="S44" s="332"/>
      <c r="T44" s="332"/>
      <c r="U44" s="347" t="s">
        <v>1179</v>
      </c>
      <c r="V44" s="408"/>
      <c r="W44" s="408"/>
      <c r="X44" s="408"/>
      <c r="Y44" s="332" t="str">
        <f t="shared" si="3"/>
        <v/>
      </c>
      <c r="Z44" s="408"/>
      <c r="AA44" s="332" t="str">
        <f t="shared" si="4"/>
        <v/>
      </c>
      <c r="AB44" s="332"/>
      <c r="AC44" s="332" t="str">
        <f t="shared" si="5"/>
        <v/>
      </c>
      <c r="AD44" s="332"/>
      <c r="AE44" s="332" t="str">
        <f t="shared" si="6"/>
        <v/>
      </c>
      <c r="AF44" s="332"/>
      <c r="AG44" s="332" t="str">
        <f t="shared" si="7"/>
        <v/>
      </c>
      <c r="AH44" s="332"/>
      <c r="AI44" s="332" t="str">
        <f t="shared" si="8"/>
        <v/>
      </c>
      <c r="AJ44" s="332"/>
      <c r="AK44" s="333" t="str">
        <f t="shared" si="0"/>
        <v/>
      </c>
      <c r="AL44" s="404" t="str">
        <f t="shared" si="11"/>
        <v/>
      </c>
      <c r="AM44" s="404" t="str">
        <f t="shared" si="9"/>
        <v/>
      </c>
      <c r="AN44" s="405"/>
      <c r="AO44" s="405"/>
      <c r="AP44" s="405"/>
      <c r="AQ44" s="405"/>
      <c r="AR44" s="405"/>
      <c r="AS44" s="405"/>
      <c r="AT44" s="405"/>
      <c r="AU44" s="400" t="str">
        <f>IFERROR(VLOOKUP(AT44,'Seguridad Información'!$I$61:$J$65,2,0),"")</f>
        <v/>
      </c>
      <c r="AV44" s="400"/>
      <c r="AW44" s="406" t="str">
        <f t="shared" si="1"/>
        <v/>
      </c>
      <c r="AX44" s="404" t="str">
        <f t="shared" si="2"/>
        <v/>
      </c>
      <c r="AY44" s="406" t="str">
        <f>IFERROR(VLOOKUP((CONCATENATE(AM44,AX44)),Listados!$U$3:$V$11,2,FALSE),"")</f>
        <v/>
      </c>
      <c r="AZ44" s="404">
        <f t="shared" si="10"/>
        <v>100</v>
      </c>
      <c r="BA44" s="942"/>
      <c r="BB44" s="942"/>
      <c r="BC44" s="407">
        <f>+IF(AND(W44="Preventivo",BB43="Fuerte"),2,IF(AND(W44="Preventivo",BB43="Moderado"),1,0))</f>
        <v>0</v>
      </c>
      <c r="BD44" s="407">
        <f>+IF(AND(W44="Detectivo/Correctivo",$BB43="Fuerte"),2,IF(AND(W44="Detectivo/Correctivo",$BB44="Moderado"),1,IF(AND(W44="Preventivo",$BB43="Fuerte"),1,0)))</f>
        <v>0</v>
      </c>
      <c r="BE44" s="407" t="e">
        <f>+N43-BC44</f>
        <v>#N/A</v>
      </c>
      <c r="BF44" s="407" t="e">
        <f>+P43-BD44</f>
        <v>#N/A</v>
      </c>
      <c r="BG44" s="565"/>
      <c r="BH44" s="565"/>
      <c r="BI44" s="565"/>
      <c r="BJ44" s="573"/>
      <c r="BK44" s="573"/>
      <c r="BL44" s="573"/>
      <c r="BM44" s="939"/>
    </row>
    <row r="45" spans="1:65" ht="65.099999999999994" customHeight="1">
      <c r="A45" s="953"/>
      <c r="B45" s="949"/>
      <c r="C45" s="686"/>
      <c r="D45" s="401"/>
      <c r="E45" s="401"/>
      <c r="F45" s="948"/>
      <c r="G45" s="947"/>
      <c r="H45" s="375"/>
      <c r="I45" s="375"/>
      <c r="J45" s="375"/>
      <c r="K45" s="402"/>
      <c r="L45" s="403"/>
      <c r="M45" s="689"/>
      <c r="N45" s="943"/>
      <c r="O45" s="945"/>
      <c r="P45" s="943"/>
      <c r="Q45" s="565"/>
      <c r="R45" s="565"/>
      <c r="S45" s="332"/>
      <c r="T45" s="332"/>
      <c r="U45" s="347" t="s">
        <v>1179</v>
      </c>
      <c r="V45" s="408"/>
      <c r="W45" s="408"/>
      <c r="X45" s="408"/>
      <c r="Y45" s="332" t="str">
        <f t="shared" si="3"/>
        <v/>
      </c>
      <c r="Z45" s="408"/>
      <c r="AA45" s="332" t="str">
        <f t="shared" si="4"/>
        <v/>
      </c>
      <c r="AB45" s="332"/>
      <c r="AC45" s="332" t="str">
        <f t="shared" si="5"/>
        <v/>
      </c>
      <c r="AD45" s="332"/>
      <c r="AE45" s="332" t="str">
        <f t="shared" si="6"/>
        <v/>
      </c>
      <c r="AF45" s="332"/>
      <c r="AG45" s="332" t="str">
        <f t="shared" si="7"/>
        <v/>
      </c>
      <c r="AH45" s="332"/>
      <c r="AI45" s="332" t="str">
        <f t="shared" si="8"/>
        <v/>
      </c>
      <c r="AJ45" s="332"/>
      <c r="AK45" s="333" t="str">
        <f t="shared" si="0"/>
        <v/>
      </c>
      <c r="AL45" s="404" t="str">
        <f t="shared" si="11"/>
        <v/>
      </c>
      <c r="AM45" s="404" t="str">
        <f t="shared" si="9"/>
        <v/>
      </c>
      <c r="AN45" s="405"/>
      <c r="AO45" s="405"/>
      <c r="AP45" s="405"/>
      <c r="AQ45" s="405"/>
      <c r="AR45" s="405"/>
      <c r="AS45" s="405"/>
      <c r="AT45" s="405"/>
      <c r="AU45" s="400" t="str">
        <f>IFERROR(VLOOKUP(AT45,'Seguridad Información'!$I$61:$J$65,2,0),"")</f>
        <v/>
      </c>
      <c r="AV45" s="400"/>
      <c r="AW45" s="406" t="str">
        <f t="shared" si="1"/>
        <v/>
      </c>
      <c r="AX45" s="404" t="str">
        <f t="shared" si="2"/>
        <v/>
      </c>
      <c r="AY45" s="406" t="str">
        <f>IFERROR(VLOOKUP((CONCATENATE(AM45,AX45)),Listados!$U$3:$V$11,2,FALSE),"")</f>
        <v/>
      </c>
      <c r="AZ45" s="404">
        <f t="shared" si="10"/>
        <v>100</v>
      </c>
      <c r="BA45" s="942"/>
      <c r="BB45" s="942"/>
      <c r="BC45" s="407">
        <f>+IF(AND(W45="Preventivo",BB43="Fuerte"),2,IF(AND(W45="Preventivo",BB43="Moderado"),1,0))</f>
        <v>0</v>
      </c>
      <c r="BD45" s="407">
        <f>+IF(AND(W45="Detectivo/Correctivo",$BB43="Fuerte"),2,IF(AND(W45="Detectivo/Correctivo",$BB45="Moderado"),1,IF(AND(W45="Preventivo",$BB43="Fuerte"),1,0)))</f>
        <v>0</v>
      </c>
      <c r="BE45" s="407" t="e">
        <f>+N43-BC45</f>
        <v>#N/A</v>
      </c>
      <c r="BF45" s="407" t="e">
        <f>+P43-BD45</f>
        <v>#N/A</v>
      </c>
      <c r="BG45" s="565"/>
      <c r="BH45" s="565"/>
      <c r="BI45" s="565"/>
      <c r="BJ45" s="573"/>
      <c r="BK45" s="573"/>
      <c r="BL45" s="573"/>
      <c r="BM45" s="939"/>
    </row>
    <row r="46" spans="1:65" ht="65.099999999999994" customHeight="1">
      <c r="A46" s="953"/>
      <c r="B46" s="949"/>
      <c r="C46" s="686"/>
      <c r="D46" s="401"/>
      <c r="E46" s="401"/>
      <c r="F46" s="948"/>
      <c r="G46" s="947"/>
      <c r="H46" s="375"/>
      <c r="I46" s="375"/>
      <c r="J46" s="375"/>
      <c r="K46" s="402"/>
      <c r="L46" s="403"/>
      <c r="M46" s="689"/>
      <c r="N46" s="943"/>
      <c r="O46" s="945"/>
      <c r="P46" s="943"/>
      <c r="Q46" s="565"/>
      <c r="R46" s="565"/>
      <c r="S46" s="332"/>
      <c r="T46" s="332"/>
      <c r="U46" s="347" t="s">
        <v>1179</v>
      </c>
      <c r="V46" s="408"/>
      <c r="W46" s="408"/>
      <c r="X46" s="408"/>
      <c r="Y46" s="332" t="str">
        <f t="shared" si="3"/>
        <v/>
      </c>
      <c r="Z46" s="408"/>
      <c r="AA46" s="332" t="str">
        <f t="shared" si="4"/>
        <v/>
      </c>
      <c r="AB46" s="332"/>
      <c r="AC46" s="332" t="str">
        <f t="shared" si="5"/>
        <v/>
      </c>
      <c r="AD46" s="332"/>
      <c r="AE46" s="332" t="str">
        <f t="shared" si="6"/>
        <v/>
      </c>
      <c r="AF46" s="332"/>
      <c r="AG46" s="332" t="str">
        <f t="shared" si="7"/>
        <v/>
      </c>
      <c r="AH46" s="332"/>
      <c r="AI46" s="332" t="str">
        <f t="shared" si="8"/>
        <v/>
      </c>
      <c r="AJ46" s="332"/>
      <c r="AK46" s="333" t="str">
        <f t="shared" si="0"/>
        <v/>
      </c>
      <c r="AL46" s="404" t="str">
        <f t="shared" si="11"/>
        <v/>
      </c>
      <c r="AM46" s="404" t="str">
        <f t="shared" si="9"/>
        <v/>
      </c>
      <c r="AN46" s="405"/>
      <c r="AO46" s="405"/>
      <c r="AP46" s="405"/>
      <c r="AQ46" s="405"/>
      <c r="AR46" s="405"/>
      <c r="AS46" s="405"/>
      <c r="AT46" s="405"/>
      <c r="AU46" s="400" t="str">
        <f>IFERROR(VLOOKUP(AT46,'Seguridad Información'!$I$61:$J$65,2,0),"")</f>
        <v/>
      </c>
      <c r="AV46" s="400"/>
      <c r="AW46" s="406" t="str">
        <f t="shared" si="1"/>
        <v/>
      </c>
      <c r="AX46" s="404" t="str">
        <f t="shared" si="2"/>
        <v/>
      </c>
      <c r="AY46" s="406" t="str">
        <f>IFERROR(VLOOKUP((CONCATENATE(AM46,AX46)),Listados!$U$3:$V$11,2,FALSE),"")</f>
        <v/>
      </c>
      <c r="AZ46" s="404">
        <f t="shared" si="10"/>
        <v>100</v>
      </c>
      <c r="BA46" s="942"/>
      <c r="BB46" s="942"/>
      <c r="BC46" s="407">
        <f>+IF(AND(W46="Preventivo",BB43="Fuerte"),2,IF(AND(W46="Preventivo",BB43="Moderado"),1,0))</f>
        <v>0</v>
      </c>
      <c r="BD46" s="407">
        <f>+IF(AND(W46="Detectivo/Correctivo",$BB43="Fuerte"),2,IF(AND(W46="Detectivo/Correctivo",$BB46="Moderado"),1,IF(AND(W46="Preventivo",$BB43="Fuerte"),1,0)))</f>
        <v>0</v>
      </c>
      <c r="BE46" s="407" t="e">
        <f>+N43-BC46</f>
        <v>#N/A</v>
      </c>
      <c r="BF46" s="407" t="e">
        <f>+P43-BD46</f>
        <v>#N/A</v>
      </c>
      <c r="BG46" s="565"/>
      <c r="BH46" s="565"/>
      <c r="BI46" s="565"/>
      <c r="BJ46" s="573"/>
      <c r="BK46" s="573"/>
      <c r="BL46" s="573"/>
      <c r="BM46" s="939"/>
    </row>
    <row r="47" spans="1:65" ht="65.099999999999994" customHeight="1">
      <c r="A47" s="953"/>
      <c r="B47" s="949"/>
      <c r="C47" s="686"/>
      <c r="D47" s="401"/>
      <c r="E47" s="401"/>
      <c r="F47" s="948"/>
      <c r="G47" s="947"/>
      <c r="H47" s="375"/>
      <c r="I47" s="375"/>
      <c r="J47" s="375"/>
      <c r="K47" s="402"/>
      <c r="L47" s="403"/>
      <c r="M47" s="689"/>
      <c r="N47" s="943"/>
      <c r="O47" s="945"/>
      <c r="P47" s="943"/>
      <c r="Q47" s="565"/>
      <c r="R47" s="565"/>
      <c r="S47" s="332"/>
      <c r="T47" s="332"/>
      <c r="U47" s="347" t="s">
        <v>1179</v>
      </c>
      <c r="V47" s="408"/>
      <c r="W47" s="408"/>
      <c r="X47" s="408"/>
      <c r="Y47" s="332" t="str">
        <f t="shared" si="3"/>
        <v/>
      </c>
      <c r="Z47" s="408"/>
      <c r="AA47" s="332" t="str">
        <f t="shared" si="4"/>
        <v/>
      </c>
      <c r="AB47" s="332"/>
      <c r="AC47" s="332" t="str">
        <f t="shared" si="5"/>
        <v/>
      </c>
      <c r="AD47" s="332"/>
      <c r="AE47" s="332" t="str">
        <f t="shared" si="6"/>
        <v/>
      </c>
      <c r="AF47" s="332"/>
      <c r="AG47" s="332" t="str">
        <f t="shared" si="7"/>
        <v/>
      </c>
      <c r="AH47" s="332"/>
      <c r="AI47" s="332" t="str">
        <f t="shared" si="8"/>
        <v/>
      </c>
      <c r="AJ47" s="332"/>
      <c r="AK47" s="333" t="str">
        <f t="shared" si="0"/>
        <v/>
      </c>
      <c r="AL47" s="404" t="str">
        <f t="shared" si="11"/>
        <v/>
      </c>
      <c r="AM47" s="404" t="str">
        <f t="shared" si="9"/>
        <v/>
      </c>
      <c r="AN47" s="405"/>
      <c r="AO47" s="405"/>
      <c r="AP47" s="405"/>
      <c r="AQ47" s="405"/>
      <c r="AR47" s="405"/>
      <c r="AS47" s="405"/>
      <c r="AT47" s="405"/>
      <c r="AU47" s="400" t="str">
        <f>IFERROR(VLOOKUP(AT47,'Seguridad Información'!$I$61:$J$65,2,0),"")</f>
        <v/>
      </c>
      <c r="AV47" s="400"/>
      <c r="AW47" s="406" t="str">
        <f t="shared" si="1"/>
        <v/>
      </c>
      <c r="AX47" s="404" t="str">
        <f t="shared" si="2"/>
        <v/>
      </c>
      <c r="AY47" s="406" t="str">
        <f>IFERROR(VLOOKUP((CONCATENATE(AM47,AX47)),Listados!$U$3:$V$11,2,FALSE),"")</f>
        <v/>
      </c>
      <c r="AZ47" s="404">
        <f t="shared" si="10"/>
        <v>100</v>
      </c>
      <c r="BA47" s="942"/>
      <c r="BB47" s="942"/>
      <c r="BC47" s="407">
        <f>+IF(AND(W47="Preventivo",BB43="Fuerte"),2,IF(AND(W47="Preventivo",BB43="Moderado"),1,0))</f>
        <v>0</v>
      </c>
      <c r="BD47" s="407">
        <f>+IF(AND(W47="Detectivo/Correctivo",$BB43="Fuerte"),2,IF(AND(W47="Detectivo/Correctivo",$BB47="Moderado"),1,IF(AND(W47="Preventivo",$BB43="Fuerte"),1,0)))</f>
        <v>0</v>
      </c>
      <c r="BE47" s="407" t="e">
        <f>+N43-BC47</f>
        <v>#N/A</v>
      </c>
      <c r="BF47" s="407" t="e">
        <f>+P43-BD47</f>
        <v>#N/A</v>
      </c>
      <c r="BG47" s="565"/>
      <c r="BH47" s="565"/>
      <c r="BI47" s="565"/>
      <c r="BJ47" s="573"/>
      <c r="BK47" s="573"/>
      <c r="BL47" s="573"/>
      <c r="BM47" s="939"/>
    </row>
    <row r="48" spans="1:65" ht="65.099999999999994" customHeight="1">
      <c r="A48" s="953"/>
      <c r="B48" s="949"/>
      <c r="C48" s="686"/>
      <c r="D48" s="401"/>
      <c r="E48" s="401"/>
      <c r="F48" s="948"/>
      <c r="G48" s="947"/>
      <c r="H48" s="375"/>
      <c r="I48" s="375"/>
      <c r="J48" s="375"/>
      <c r="K48" s="402"/>
      <c r="L48" s="403"/>
      <c r="M48" s="689"/>
      <c r="N48" s="943"/>
      <c r="O48" s="945"/>
      <c r="P48" s="943"/>
      <c r="Q48" s="565"/>
      <c r="R48" s="565"/>
      <c r="S48" s="332"/>
      <c r="T48" s="332"/>
      <c r="U48" s="347" t="s">
        <v>1179</v>
      </c>
      <c r="V48" s="408"/>
      <c r="W48" s="408"/>
      <c r="X48" s="408"/>
      <c r="Y48" s="332" t="str">
        <f t="shared" si="3"/>
        <v/>
      </c>
      <c r="Z48" s="408"/>
      <c r="AA48" s="332" t="str">
        <f t="shared" si="4"/>
        <v/>
      </c>
      <c r="AB48" s="332"/>
      <c r="AC48" s="332" t="str">
        <f t="shared" si="5"/>
        <v/>
      </c>
      <c r="AD48" s="332"/>
      <c r="AE48" s="332" t="str">
        <f t="shared" si="6"/>
        <v/>
      </c>
      <c r="AF48" s="332"/>
      <c r="AG48" s="332" t="str">
        <f t="shared" si="7"/>
        <v/>
      </c>
      <c r="AH48" s="332"/>
      <c r="AI48" s="332" t="str">
        <f t="shared" si="8"/>
        <v/>
      </c>
      <c r="AJ48" s="332"/>
      <c r="AK48" s="333" t="str">
        <f t="shared" si="0"/>
        <v/>
      </c>
      <c r="AL48" s="404" t="str">
        <f t="shared" si="11"/>
        <v/>
      </c>
      <c r="AM48" s="404" t="str">
        <f t="shared" si="9"/>
        <v/>
      </c>
      <c r="AN48" s="405"/>
      <c r="AO48" s="405"/>
      <c r="AP48" s="405"/>
      <c r="AQ48" s="405"/>
      <c r="AR48" s="405"/>
      <c r="AS48" s="405"/>
      <c r="AT48" s="405"/>
      <c r="AU48" s="400" t="str">
        <f>IFERROR(VLOOKUP(AT48,'Seguridad Información'!$I$61:$J$65,2,0),"")</f>
        <v/>
      </c>
      <c r="AV48" s="400"/>
      <c r="AW48" s="406" t="str">
        <f t="shared" si="1"/>
        <v/>
      </c>
      <c r="AX48" s="404" t="str">
        <f t="shared" si="2"/>
        <v/>
      </c>
      <c r="AY48" s="406" t="str">
        <f>IFERROR(VLOOKUP((CONCATENATE(AM48,AX48)),Listados!$U$3:$V$11,2,FALSE),"")</f>
        <v/>
      </c>
      <c r="AZ48" s="404">
        <f t="shared" si="10"/>
        <v>100</v>
      </c>
      <c r="BA48" s="942"/>
      <c r="BB48" s="942"/>
      <c r="BC48" s="407">
        <f>+IF(AND(W48="Preventivo",BB43="Fuerte"),2,IF(AND(W48="Preventivo",BB43="Moderado"),1,0))</f>
        <v>0</v>
      </c>
      <c r="BD48" s="407">
        <f>+IF(AND(W48="Detectivo/Correctivo",$BB43="Fuerte"),2,IF(AND(W48="Detectivo/Correctivo",$BB48="Moderado"),1,IF(AND(W48="Preventivo",$BB43="Fuerte"),1,0)))</f>
        <v>0</v>
      </c>
      <c r="BE48" s="407" t="e">
        <f>+N43-BC48</f>
        <v>#N/A</v>
      </c>
      <c r="BF48" s="407" t="e">
        <f>+P43-BD48</f>
        <v>#N/A</v>
      </c>
      <c r="BG48" s="565"/>
      <c r="BH48" s="565"/>
      <c r="BI48" s="565"/>
      <c r="BJ48" s="573"/>
      <c r="BK48" s="573"/>
      <c r="BL48" s="573"/>
      <c r="BM48" s="939"/>
    </row>
    <row r="49" spans="1:65" ht="65.099999999999994" customHeight="1">
      <c r="A49" s="953">
        <v>8</v>
      </c>
      <c r="B49" s="949"/>
      <c r="C49" s="686" t="str">
        <f>IFERROR(VLOOKUP(B49,Listados!B$3:C$20,2,FALSE),"")</f>
        <v/>
      </c>
      <c r="D49" s="401"/>
      <c r="E49" s="401"/>
      <c r="F49" s="948"/>
      <c r="G49" s="947"/>
      <c r="H49" s="375"/>
      <c r="I49" s="375"/>
      <c r="J49" s="375"/>
      <c r="K49" s="402"/>
      <c r="L49" s="403"/>
      <c r="M49" s="689"/>
      <c r="N49" s="943" t="e">
        <f>+VLOOKUP(M49,Listados!$K$8:$L$12,2,0)</f>
        <v>#N/A</v>
      </c>
      <c r="O49" s="945"/>
      <c r="P49" s="943" t="e">
        <f>+VLOOKUP(O49,Listados!$K$13:$L$17,2,0)</f>
        <v>#N/A</v>
      </c>
      <c r="Q49" s="565" t="str">
        <f>IF(AND(M49&lt;&gt;"",O49&lt;&gt;""),VLOOKUP(M49&amp;O49,Listados!$M$3:$N$27,2,FALSE),"")</f>
        <v/>
      </c>
      <c r="R49" s="565" t="e">
        <f>+VLOOKUP(Q49,Listados!$P$3:$Q$6,2,FALSE)</f>
        <v>#N/A</v>
      </c>
      <c r="S49" s="332"/>
      <c r="T49" s="332"/>
      <c r="U49" s="347" t="s">
        <v>1179</v>
      </c>
      <c r="V49" s="408"/>
      <c r="W49" s="408"/>
      <c r="X49" s="408"/>
      <c r="Y49" s="332" t="str">
        <f t="shared" si="3"/>
        <v/>
      </c>
      <c r="Z49" s="408"/>
      <c r="AA49" s="332" t="str">
        <f t="shared" si="4"/>
        <v/>
      </c>
      <c r="AB49" s="332"/>
      <c r="AC49" s="332" t="str">
        <f t="shared" si="5"/>
        <v/>
      </c>
      <c r="AD49" s="332"/>
      <c r="AE49" s="332" t="str">
        <f t="shared" si="6"/>
        <v/>
      </c>
      <c r="AF49" s="332"/>
      <c r="AG49" s="332" t="str">
        <f t="shared" si="7"/>
        <v/>
      </c>
      <c r="AH49" s="332"/>
      <c r="AI49" s="332" t="str">
        <f t="shared" si="8"/>
        <v/>
      </c>
      <c r="AJ49" s="332"/>
      <c r="AK49" s="333" t="str">
        <f t="shared" si="0"/>
        <v/>
      </c>
      <c r="AL49" s="404" t="str">
        <f t="shared" si="11"/>
        <v/>
      </c>
      <c r="AM49" s="404" t="str">
        <f t="shared" si="9"/>
        <v/>
      </c>
      <c r="AN49" s="405"/>
      <c r="AO49" s="405"/>
      <c r="AP49" s="405"/>
      <c r="AQ49" s="405"/>
      <c r="AR49" s="405"/>
      <c r="AS49" s="405"/>
      <c r="AT49" s="405"/>
      <c r="AU49" s="400" t="str">
        <f>IFERROR(VLOOKUP(AT49,'Seguridad Información'!$I$61:$J$65,2,0),"")</f>
        <v/>
      </c>
      <c r="AV49" s="400"/>
      <c r="AW49" s="406" t="str">
        <f t="shared" si="1"/>
        <v/>
      </c>
      <c r="AX49" s="404" t="str">
        <f t="shared" si="2"/>
        <v/>
      </c>
      <c r="AY49" s="406" t="str">
        <f>IFERROR(VLOOKUP((CONCATENATE(AM49,AX49)),Listados!$U$3:$V$11,2,FALSE),"")</f>
        <v/>
      </c>
      <c r="AZ49" s="404">
        <f t="shared" si="10"/>
        <v>100</v>
      </c>
      <c r="BA49" s="942">
        <f>AVERAGE(AZ49:AZ54)</f>
        <v>100</v>
      </c>
      <c r="BB49" s="942" t="str">
        <f>IF(BA49&lt;=50, "Débil", IF(BA49&lt;=99,"Moderado","Fuerte"))</f>
        <v>Fuerte</v>
      </c>
      <c r="BC49" s="407">
        <f>+IF(AND(W49="Preventivo",BB49="Fuerte"),2,IF(AND(W49="Preventivo",BB49="Moderado"),1,0))</f>
        <v>0</v>
      </c>
      <c r="BD49" s="407">
        <f>+IF(AND(W49="Detectivo/Correctivo",$BB49="Fuerte"),2,IF(AND(W49="Detectivo/Correctivo",$BB49="Moderado"),1,IF(AND(W49="Preventivo",$BB49="Fuerte"),1,0)))</f>
        <v>0</v>
      </c>
      <c r="BE49" s="407" t="e">
        <f>+N49-BC49</f>
        <v>#N/A</v>
      </c>
      <c r="BF49" s="407" t="e">
        <f>+P49-BD49</f>
        <v>#N/A</v>
      </c>
      <c r="BG49" s="565" t="e">
        <f>+VLOOKUP(MIN(BE49,BE50,BE51,BE52,BE53,BE54),Listados!$J$18:$K$24,2,TRUE)</f>
        <v>#N/A</v>
      </c>
      <c r="BH49" s="565" t="e">
        <f>+VLOOKUP(MIN(BF49,BF50,BF51,BF52,BF53,BF54),Listados!$J$27:$K$32,2,TRUE)</f>
        <v>#N/A</v>
      </c>
      <c r="BI49" s="565" t="e">
        <f>IF(AND(BG49&lt;&gt;"",BH49&lt;&gt;""),VLOOKUP(BG49&amp;BH49,Listados!$M$3:$N$27,2,FALSE),"")</f>
        <v>#N/A</v>
      </c>
      <c r="BJ49" s="573" t="e">
        <f>+IF($R49="Asumir el riesgo","NA","")</f>
        <v>#N/A</v>
      </c>
      <c r="BK49" s="573" t="e">
        <f>+IF($R49="Asumir el riesgo","NA","")</f>
        <v>#N/A</v>
      </c>
      <c r="BL49" s="573" t="e">
        <f>+IF($R49="Asumir el riesgo","NA","")</f>
        <v>#N/A</v>
      </c>
      <c r="BM49" s="939" t="e">
        <f>+IF($R49="Asumir el riesgo","NA","")</f>
        <v>#N/A</v>
      </c>
    </row>
    <row r="50" spans="1:65" ht="65.099999999999994" customHeight="1">
      <c r="A50" s="953"/>
      <c r="B50" s="949"/>
      <c r="C50" s="686"/>
      <c r="D50" s="401"/>
      <c r="E50" s="401"/>
      <c r="F50" s="948"/>
      <c r="G50" s="947"/>
      <c r="H50" s="375"/>
      <c r="I50" s="375"/>
      <c r="J50" s="375"/>
      <c r="K50" s="402"/>
      <c r="L50" s="403"/>
      <c r="M50" s="689"/>
      <c r="N50" s="943"/>
      <c r="O50" s="945"/>
      <c r="P50" s="943"/>
      <c r="Q50" s="565"/>
      <c r="R50" s="565"/>
      <c r="S50" s="332"/>
      <c r="T50" s="332"/>
      <c r="U50" s="347" t="s">
        <v>1179</v>
      </c>
      <c r="V50" s="408"/>
      <c r="W50" s="408"/>
      <c r="X50" s="408"/>
      <c r="Y50" s="332" t="str">
        <f t="shared" si="3"/>
        <v/>
      </c>
      <c r="Z50" s="408"/>
      <c r="AA50" s="332" t="str">
        <f t="shared" si="4"/>
        <v/>
      </c>
      <c r="AB50" s="332"/>
      <c r="AC50" s="332" t="str">
        <f t="shared" si="5"/>
        <v/>
      </c>
      <c r="AD50" s="332"/>
      <c r="AE50" s="332" t="str">
        <f t="shared" si="6"/>
        <v/>
      </c>
      <c r="AF50" s="332"/>
      <c r="AG50" s="332" t="str">
        <f t="shared" si="7"/>
        <v/>
      </c>
      <c r="AH50" s="332"/>
      <c r="AI50" s="332" t="str">
        <f t="shared" si="8"/>
        <v/>
      </c>
      <c r="AJ50" s="332"/>
      <c r="AK50" s="333" t="str">
        <f t="shared" si="0"/>
        <v/>
      </c>
      <c r="AL50" s="404" t="str">
        <f t="shared" si="11"/>
        <v/>
      </c>
      <c r="AM50" s="404" t="str">
        <f t="shared" si="9"/>
        <v/>
      </c>
      <c r="AN50" s="405"/>
      <c r="AO50" s="405"/>
      <c r="AP50" s="405"/>
      <c r="AQ50" s="405"/>
      <c r="AR50" s="405"/>
      <c r="AS50" s="405"/>
      <c r="AT50" s="405"/>
      <c r="AU50" s="400" t="str">
        <f>IFERROR(VLOOKUP(AT50,'Seguridad Información'!$I$61:$J$65,2,0),"")</f>
        <v/>
      </c>
      <c r="AV50" s="400"/>
      <c r="AW50" s="406" t="str">
        <f t="shared" si="1"/>
        <v/>
      </c>
      <c r="AX50" s="404" t="str">
        <f t="shared" si="2"/>
        <v/>
      </c>
      <c r="AY50" s="406" t="str">
        <f>IFERROR(VLOOKUP((CONCATENATE(AM50,AX50)),Listados!$U$3:$V$11,2,FALSE),"")</f>
        <v/>
      </c>
      <c r="AZ50" s="404">
        <f t="shared" si="10"/>
        <v>100</v>
      </c>
      <c r="BA50" s="942"/>
      <c r="BB50" s="942"/>
      <c r="BC50" s="407">
        <f>+IF(AND(W50="Preventivo",BB49="Fuerte"),2,IF(AND(W50="Preventivo",BB49="Moderado"),1,0))</f>
        <v>0</v>
      </c>
      <c r="BD50" s="407">
        <f>+IF(AND(W50="Detectivo/Correctivo",$BB49="Fuerte"),2,IF(AND(W50="Detectivo/Correctivo",$BB50="Moderado"),1,IF(AND(W50="Preventivo",$BB49="Fuerte"),1,0)))</f>
        <v>0</v>
      </c>
      <c r="BE50" s="407" t="e">
        <f>+N49-BC50</f>
        <v>#N/A</v>
      </c>
      <c r="BF50" s="407" t="e">
        <f>+P49-BD50</f>
        <v>#N/A</v>
      </c>
      <c r="BG50" s="565"/>
      <c r="BH50" s="565"/>
      <c r="BI50" s="565"/>
      <c r="BJ50" s="573"/>
      <c r="BK50" s="573"/>
      <c r="BL50" s="573"/>
      <c r="BM50" s="939"/>
    </row>
    <row r="51" spans="1:65" ht="65.099999999999994" customHeight="1">
      <c r="A51" s="953"/>
      <c r="B51" s="949"/>
      <c r="C51" s="686"/>
      <c r="D51" s="401"/>
      <c r="E51" s="401"/>
      <c r="F51" s="948"/>
      <c r="G51" s="947"/>
      <c r="H51" s="375"/>
      <c r="I51" s="375"/>
      <c r="J51" s="375"/>
      <c r="K51" s="402"/>
      <c r="L51" s="403"/>
      <c r="M51" s="689"/>
      <c r="N51" s="943"/>
      <c r="O51" s="945"/>
      <c r="P51" s="943"/>
      <c r="Q51" s="565"/>
      <c r="R51" s="565"/>
      <c r="S51" s="332"/>
      <c r="T51" s="332"/>
      <c r="U51" s="347" t="s">
        <v>1179</v>
      </c>
      <c r="V51" s="408"/>
      <c r="W51" s="408"/>
      <c r="X51" s="408"/>
      <c r="Y51" s="332" t="str">
        <f t="shared" si="3"/>
        <v/>
      </c>
      <c r="Z51" s="408"/>
      <c r="AA51" s="332" t="str">
        <f t="shared" si="4"/>
        <v/>
      </c>
      <c r="AB51" s="332"/>
      <c r="AC51" s="332" t="str">
        <f t="shared" si="5"/>
        <v/>
      </c>
      <c r="AD51" s="332"/>
      <c r="AE51" s="332" t="str">
        <f t="shared" si="6"/>
        <v/>
      </c>
      <c r="AF51" s="332"/>
      <c r="AG51" s="332" t="str">
        <f t="shared" si="7"/>
        <v/>
      </c>
      <c r="AH51" s="332"/>
      <c r="AI51" s="332" t="str">
        <f t="shared" si="8"/>
        <v/>
      </c>
      <c r="AJ51" s="332"/>
      <c r="AK51" s="333" t="str">
        <f t="shared" si="0"/>
        <v/>
      </c>
      <c r="AL51" s="404" t="str">
        <f t="shared" si="11"/>
        <v/>
      </c>
      <c r="AM51" s="404" t="str">
        <f t="shared" si="9"/>
        <v/>
      </c>
      <c r="AN51" s="405"/>
      <c r="AO51" s="405"/>
      <c r="AP51" s="405"/>
      <c r="AQ51" s="405"/>
      <c r="AR51" s="405"/>
      <c r="AS51" s="405"/>
      <c r="AT51" s="405"/>
      <c r="AU51" s="400" t="str">
        <f>IFERROR(VLOOKUP(AT51,'Seguridad Información'!$I$61:$J$65,2,0),"")</f>
        <v/>
      </c>
      <c r="AV51" s="400"/>
      <c r="AW51" s="406" t="str">
        <f t="shared" si="1"/>
        <v/>
      </c>
      <c r="AX51" s="404" t="str">
        <f t="shared" si="2"/>
        <v/>
      </c>
      <c r="AY51" s="406" t="str">
        <f>IFERROR(VLOOKUP((CONCATENATE(AM51,AX51)),Listados!$U$3:$V$11,2,FALSE),"")</f>
        <v/>
      </c>
      <c r="AZ51" s="404">
        <f t="shared" si="10"/>
        <v>100</v>
      </c>
      <c r="BA51" s="942"/>
      <c r="BB51" s="942"/>
      <c r="BC51" s="407">
        <f>+IF(AND(W51="Preventivo",BB49="Fuerte"),2,IF(AND(W51="Preventivo",BB49="Moderado"),1,0))</f>
        <v>0</v>
      </c>
      <c r="BD51" s="407">
        <f>+IF(AND(W51="Detectivo/Correctivo",$BB49="Fuerte"),2,IF(AND(W51="Detectivo/Correctivo",$BB51="Moderado"),1,IF(AND(W51="Preventivo",$BB49="Fuerte"),1,0)))</f>
        <v>0</v>
      </c>
      <c r="BE51" s="407" t="e">
        <f>+N49-BC51</f>
        <v>#N/A</v>
      </c>
      <c r="BF51" s="407" t="e">
        <f>+P49-BD51</f>
        <v>#N/A</v>
      </c>
      <c r="BG51" s="565"/>
      <c r="BH51" s="565"/>
      <c r="BI51" s="565"/>
      <c r="BJ51" s="573"/>
      <c r="BK51" s="573"/>
      <c r="BL51" s="573"/>
      <c r="BM51" s="939"/>
    </row>
    <row r="52" spans="1:65" ht="65.099999999999994" customHeight="1">
      <c r="A52" s="953"/>
      <c r="B52" s="949"/>
      <c r="C52" s="686"/>
      <c r="D52" s="401"/>
      <c r="E52" s="401"/>
      <c r="F52" s="948"/>
      <c r="G52" s="947"/>
      <c r="H52" s="375"/>
      <c r="I52" s="375"/>
      <c r="J52" s="375"/>
      <c r="K52" s="402"/>
      <c r="L52" s="403"/>
      <c r="M52" s="689"/>
      <c r="N52" s="943"/>
      <c r="O52" s="945"/>
      <c r="P52" s="943"/>
      <c r="Q52" s="565"/>
      <c r="R52" s="565"/>
      <c r="S52" s="332"/>
      <c r="T52" s="332"/>
      <c r="U52" s="347" t="s">
        <v>1179</v>
      </c>
      <c r="V52" s="408"/>
      <c r="W52" s="408"/>
      <c r="X52" s="408"/>
      <c r="Y52" s="332" t="str">
        <f t="shared" si="3"/>
        <v/>
      </c>
      <c r="Z52" s="408"/>
      <c r="AA52" s="332" t="str">
        <f t="shared" si="4"/>
        <v/>
      </c>
      <c r="AB52" s="332"/>
      <c r="AC52" s="332" t="str">
        <f t="shared" si="5"/>
        <v/>
      </c>
      <c r="AD52" s="332"/>
      <c r="AE52" s="332" t="str">
        <f t="shared" si="6"/>
        <v/>
      </c>
      <c r="AF52" s="332"/>
      <c r="AG52" s="332" t="str">
        <f t="shared" si="7"/>
        <v/>
      </c>
      <c r="AH52" s="332"/>
      <c r="AI52" s="332" t="str">
        <f t="shared" si="8"/>
        <v/>
      </c>
      <c r="AJ52" s="332"/>
      <c r="AK52" s="333" t="str">
        <f t="shared" si="0"/>
        <v/>
      </c>
      <c r="AL52" s="404" t="str">
        <f t="shared" si="11"/>
        <v/>
      </c>
      <c r="AM52" s="404" t="str">
        <f t="shared" si="9"/>
        <v/>
      </c>
      <c r="AN52" s="405"/>
      <c r="AO52" s="405"/>
      <c r="AP52" s="405"/>
      <c r="AQ52" s="405"/>
      <c r="AR52" s="405"/>
      <c r="AS52" s="405"/>
      <c r="AT52" s="405"/>
      <c r="AU52" s="400" t="str">
        <f>IFERROR(VLOOKUP(AT52,'Seguridad Información'!$I$61:$J$65,2,0),"")</f>
        <v/>
      </c>
      <c r="AV52" s="400"/>
      <c r="AW52" s="406" t="str">
        <f t="shared" si="1"/>
        <v/>
      </c>
      <c r="AX52" s="404" t="str">
        <f t="shared" si="2"/>
        <v/>
      </c>
      <c r="AY52" s="406" t="str">
        <f>IFERROR(VLOOKUP((CONCATENATE(AM52,AX52)),Listados!$U$3:$V$11,2,FALSE),"")</f>
        <v/>
      </c>
      <c r="AZ52" s="404">
        <f t="shared" si="10"/>
        <v>100</v>
      </c>
      <c r="BA52" s="942"/>
      <c r="BB52" s="942"/>
      <c r="BC52" s="407">
        <f>+IF(AND(W52="Preventivo",BB49="Fuerte"),2,IF(AND(W52="Preventivo",BB49="Moderado"),1,0))</f>
        <v>0</v>
      </c>
      <c r="BD52" s="407">
        <f>+IF(AND(W52="Detectivo/Correctivo",$BB49="Fuerte"),2,IF(AND(W52="Detectivo/Correctivo",$BB52="Moderado"),1,IF(AND(W52="Preventivo",$BB49="Fuerte"),1,0)))</f>
        <v>0</v>
      </c>
      <c r="BE52" s="407" t="e">
        <f>+N49-BC52</f>
        <v>#N/A</v>
      </c>
      <c r="BF52" s="407" t="e">
        <f>+P49-BD52</f>
        <v>#N/A</v>
      </c>
      <c r="BG52" s="565"/>
      <c r="BH52" s="565"/>
      <c r="BI52" s="565"/>
      <c r="BJ52" s="573"/>
      <c r="BK52" s="573"/>
      <c r="BL52" s="573"/>
      <c r="BM52" s="939"/>
    </row>
    <row r="53" spans="1:65" ht="65.099999999999994" customHeight="1">
      <c r="A53" s="953"/>
      <c r="B53" s="949"/>
      <c r="C53" s="686"/>
      <c r="D53" s="401"/>
      <c r="E53" s="401"/>
      <c r="F53" s="948"/>
      <c r="G53" s="947"/>
      <c r="H53" s="375"/>
      <c r="I53" s="375"/>
      <c r="J53" s="375"/>
      <c r="K53" s="402"/>
      <c r="L53" s="403"/>
      <c r="M53" s="689"/>
      <c r="N53" s="943"/>
      <c r="O53" s="945"/>
      <c r="P53" s="943"/>
      <c r="Q53" s="565"/>
      <c r="R53" s="565"/>
      <c r="S53" s="332"/>
      <c r="T53" s="332"/>
      <c r="U53" s="347" t="s">
        <v>1179</v>
      </c>
      <c r="V53" s="408"/>
      <c r="W53" s="408"/>
      <c r="X53" s="408"/>
      <c r="Y53" s="332" t="str">
        <f t="shared" si="3"/>
        <v/>
      </c>
      <c r="Z53" s="408"/>
      <c r="AA53" s="332" t="str">
        <f t="shared" si="4"/>
        <v/>
      </c>
      <c r="AB53" s="332"/>
      <c r="AC53" s="332" t="str">
        <f t="shared" si="5"/>
        <v/>
      </c>
      <c r="AD53" s="332"/>
      <c r="AE53" s="332" t="str">
        <f t="shared" si="6"/>
        <v/>
      </c>
      <c r="AF53" s="332"/>
      <c r="AG53" s="332" t="str">
        <f t="shared" si="7"/>
        <v/>
      </c>
      <c r="AH53" s="332"/>
      <c r="AI53" s="332" t="str">
        <f t="shared" si="8"/>
        <v/>
      </c>
      <c r="AJ53" s="332"/>
      <c r="AK53" s="333" t="str">
        <f t="shared" si="0"/>
        <v/>
      </c>
      <c r="AL53" s="404" t="str">
        <f t="shared" si="11"/>
        <v/>
      </c>
      <c r="AM53" s="404" t="str">
        <f t="shared" si="9"/>
        <v/>
      </c>
      <c r="AN53" s="405"/>
      <c r="AO53" s="405"/>
      <c r="AP53" s="405"/>
      <c r="AQ53" s="405"/>
      <c r="AR53" s="405"/>
      <c r="AS53" s="405"/>
      <c r="AT53" s="405"/>
      <c r="AU53" s="400" t="str">
        <f>IFERROR(VLOOKUP(AT53,'Seguridad Información'!$I$61:$J$65,2,0),"")</f>
        <v/>
      </c>
      <c r="AV53" s="400"/>
      <c r="AW53" s="406" t="str">
        <f t="shared" si="1"/>
        <v/>
      </c>
      <c r="AX53" s="404" t="str">
        <f t="shared" si="2"/>
        <v/>
      </c>
      <c r="AY53" s="406" t="str">
        <f>IFERROR(VLOOKUP((CONCATENATE(AM53,AX53)),Listados!$U$3:$V$11,2,FALSE),"")</f>
        <v/>
      </c>
      <c r="AZ53" s="404">
        <f t="shared" si="10"/>
        <v>100</v>
      </c>
      <c r="BA53" s="942"/>
      <c r="BB53" s="942"/>
      <c r="BC53" s="407">
        <f>+IF(AND(W53="Preventivo",BB49="Fuerte"),2,IF(AND(W53="Preventivo",BB49="Moderado"),1,0))</f>
        <v>0</v>
      </c>
      <c r="BD53" s="407">
        <f>+IF(AND(W53="Detectivo/Correctivo",$BB49="Fuerte"),2,IF(AND(W53="Detectivo/Correctivo",$BB53="Moderado"),1,IF(AND(W53="Preventivo",$BB49="Fuerte"),1,0)))</f>
        <v>0</v>
      </c>
      <c r="BE53" s="407" t="e">
        <f>+N49-BC53</f>
        <v>#N/A</v>
      </c>
      <c r="BF53" s="407" t="e">
        <f>+P49-BD53</f>
        <v>#N/A</v>
      </c>
      <c r="BG53" s="565"/>
      <c r="BH53" s="565"/>
      <c r="BI53" s="565"/>
      <c r="BJ53" s="573"/>
      <c r="BK53" s="573"/>
      <c r="BL53" s="573"/>
      <c r="BM53" s="939"/>
    </row>
    <row r="54" spans="1:65" ht="65.099999999999994" customHeight="1">
      <c r="A54" s="953"/>
      <c r="B54" s="949"/>
      <c r="C54" s="686"/>
      <c r="D54" s="401"/>
      <c r="E54" s="401"/>
      <c r="F54" s="948"/>
      <c r="G54" s="947"/>
      <c r="H54" s="375"/>
      <c r="I54" s="375"/>
      <c r="J54" s="375"/>
      <c r="K54" s="402"/>
      <c r="L54" s="403"/>
      <c r="M54" s="689"/>
      <c r="N54" s="943"/>
      <c r="O54" s="945"/>
      <c r="P54" s="943"/>
      <c r="Q54" s="565"/>
      <c r="R54" s="565"/>
      <c r="S54" s="332"/>
      <c r="T54" s="332"/>
      <c r="U54" s="347" t="s">
        <v>1179</v>
      </c>
      <c r="V54" s="408"/>
      <c r="W54" s="408"/>
      <c r="X54" s="408"/>
      <c r="Y54" s="332" t="str">
        <f t="shared" si="3"/>
        <v/>
      </c>
      <c r="Z54" s="408"/>
      <c r="AA54" s="332" t="str">
        <f t="shared" si="4"/>
        <v/>
      </c>
      <c r="AB54" s="332"/>
      <c r="AC54" s="332" t="str">
        <f t="shared" si="5"/>
        <v/>
      </c>
      <c r="AD54" s="332"/>
      <c r="AE54" s="332" t="str">
        <f t="shared" si="6"/>
        <v/>
      </c>
      <c r="AF54" s="332"/>
      <c r="AG54" s="332" t="str">
        <f t="shared" si="7"/>
        <v/>
      </c>
      <c r="AH54" s="332"/>
      <c r="AI54" s="332" t="str">
        <f t="shared" si="8"/>
        <v/>
      </c>
      <c r="AJ54" s="332"/>
      <c r="AK54" s="333" t="str">
        <f t="shared" si="0"/>
        <v/>
      </c>
      <c r="AL54" s="404" t="str">
        <f t="shared" si="11"/>
        <v/>
      </c>
      <c r="AM54" s="404" t="str">
        <f t="shared" si="9"/>
        <v/>
      </c>
      <c r="AN54" s="405"/>
      <c r="AO54" s="405"/>
      <c r="AP54" s="405"/>
      <c r="AQ54" s="405"/>
      <c r="AR54" s="405"/>
      <c r="AS54" s="405"/>
      <c r="AT54" s="405"/>
      <c r="AU54" s="400" t="str">
        <f>IFERROR(VLOOKUP(AT54,'Seguridad Información'!$I$61:$J$65,2,0),"")</f>
        <v/>
      </c>
      <c r="AV54" s="400"/>
      <c r="AW54" s="406" t="str">
        <f t="shared" si="1"/>
        <v/>
      </c>
      <c r="AX54" s="404" t="str">
        <f t="shared" si="2"/>
        <v/>
      </c>
      <c r="AY54" s="406" t="str">
        <f>IFERROR(VLOOKUP((CONCATENATE(AM54,AX54)),Listados!$U$3:$V$11,2,FALSE),"")</f>
        <v/>
      </c>
      <c r="AZ54" s="404">
        <f t="shared" si="10"/>
        <v>100</v>
      </c>
      <c r="BA54" s="942"/>
      <c r="BB54" s="942"/>
      <c r="BC54" s="407">
        <f>+IF(AND(W54="Preventivo",BB49="Fuerte"),2,IF(AND(W54="Preventivo",BB49="Moderado"),1,0))</f>
        <v>0</v>
      </c>
      <c r="BD54" s="407">
        <f>+IF(AND(W54="Detectivo/Correctivo",$BB49="Fuerte"),2,IF(AND(W54="Detectivo/Correctivo",$BB54="Moderado"),1,IF(AND(W54="Preventivo",$BB49="Fuerte"),1,0)))</f>
        <v>0</v>
      </c>
      <c r="BE54" s="407" t="e">
        <f>+N49-BC54</f>
        <v>#N/A</v>
      </c>
      <c r="BF54" s="407" t="e">
        <f>+P49-BD54</f>
        <v>#N/A</v>
      </c>
      <c r="BG54" s="565"/>
      <c r="BH54" s="565"/>
      <c r="BI54" s="565"/>
      <c r="BJ54" s="573"/>
      <c r="BK54" s="573"/>
      <c r="BL54" s="573"/>
      <c r="BM54" s="939"/>
    </row>
    <row r="55" spans="1:65" ht="65.099999999999994" customHeight="1">
      <c r="A55" s="953">
        <v>9</v>
      </c>
      <c r="B55" s="949"/>
      <c r="C55" s="686" t="str">
        <f>IFERROR(VLOOKUP(B55,Listados!B$3:C$20,2,FALSE),"")</f>
        <v/>
      </c>
      <c r="D55" s="401"/>
      <c r="E55" s="401"/>
      <c r="F55" s="948"/>
      <c r="G55" s="947"/>
      <c r="H55" s="375"/>
      <c r="I55" s="375"/>
      <c r="J55" s="375"/>
      <c r="K55" s="402"/>
      <c r="L55" s="403"/>
      <c r="M55" s="689"/>
      <c r="N55" s="943" t="e">
        <f>+VLOOKUP(M55,Listados!$K$8:$L$12,2,0)</f>
        <v>#N/A</v>
      </c>
      <c r="O55" s="945"/>
      <c r="P55" s="943" t="e">
        <f>+VLOOKUP(O55,Listados!$K$13:$L$17,2,0)</f>
        <v>#N/A</v>
      </c>
      <c r="Q55" s="565" t="str">
        <f>IF(AND(M55&lt;&gt;"",O55&lt;&gt;""),VLOOKUP(M55&amp;O55,Listados!$M$3:$N$27,2,FALSE),"")</f>
        <v/>
      </c>
      <c r="R55" s="565" t="e">
        <f>+VLOOKUP(Q55,Listados!$P$3:$Q$6,2,FALSE)</f>
        <v>#N/A</v>
      </c>
      <c r="S55" s="332"/>
      <c r="T55" s="332"/>
      <c r="U55" s="347" t="s">
        <v>1179</v>
      </c>
      <c r="V55" s="408"/>
      <c r="W55" s="408"/>
      <c r="X55" s="408"/>
      <c r="Y55" s="332" t="str">
        <f t="shared" si="3"/>
        <v/>
      </c>
      <c r="Z55" s="408"/>
      <c r="AA55" s="332" t="str">
        <f t="shared" si="4"/>
        <v/>
      </c>
      <c r="AB55" s="332"/>
      <c r="AC55" s="332" t="str">
        <f t="shared" si="5"/>
        <v/>
      </c>
      <c r="AD55" s="332"/>
      <c r="AE55" s="332" t="str">
        <f t="shared" si="6"/>
        <v/>
      </c>
      <c r="AF55" s="332"/>
      <c r="AG55" s="332" t="str">
        <f t="shared" si="7"/>
        <v/>
      </c>
      <c r="AH55" s="332"/>
      <c r="AI55" s="332" t="str">
        <f t="shared" si="8"/>
        <v/>
      </c>
      <c r="AJ55" s="332"/>
      <c r="AK55" s="333" t="str">
        <f t="shared" si="0"/>
        <v/>
      </c>
      <c r="AL55" s="404" t="str">
        <f t="shared" si="11"/>
        <v/>
      </c>
      <c r="AM55" s="404" t="str">
        <f t="shared" si="9"/>
        <v/>
      </c>
      <c r="AN55" s="405"/>
      <c r="AO55" s="405"/>
      <c r="AP55" s="405"/>
      <c r="AQ55" s="405"/>
      <c r="AR55" s="405"/>
      <c r="AS55" s="405"/>
      <c r="AT55" s="405"/>
      <c r="AU55" s="400" t="str">
        <f>IFERROR(VLOOKUP(AT55,'Seguridad Información'!$I$61:$J$65,2,0),"")</f>
        <v/>
      </c>
      <c r="AV55" s="400"/>
      <c r="AW55" s="406" t="str">
        <f t="shared" si="1"/>
        <v/>
      </c>
      <c r="AX55" s="404" t="str">
        <f t="shared" si="2"/>
        <v/>
      </c>
      <c r="AY55" s="406" t="str">
        <f>IFERROR(VLOOKUP((CONCATENATE(AM55,AX55)),Listados!$U$3:$V$11,2,FALSE),"")</f>
        <v/>
      </c>
      <c r="AZ55" s="404">
        <f t="shared" si="10"/>
        <v>100</v>
      </c>
      <c r="BA55" s="942">
        <f>AVERAGE(AZ55:AZ60)</f>
        <v>100</v>
      </c>
      <c r="BB55" s="942" t="str">
        <f>IF(BA55&lt;=50, "Débil", IF(BA55&lt;=99,"Moderado","Fuerte"))</f>
        <v>Fuerte</v>
      </c>
      <c r="BC55" s="407">
        <f>+IF(AND(W55="Preventivo",BB55="Fuerte"),2,IF(AND(W55="Preventivo",BB55="Moderado"),1,0))</f>
        <v>0</v>
      </c>
      <c r="BD55" s="407">
        <f>+IF(AND(W55="Detectivo/Correctivo",$BB55="Fuerte"),2,IF(AND(W55="Detectivo/Correctivo",$BB55="Moderado"),1,IF(AND(W55="Preventivo",$BB55="Fuerte"),1,0)))</f>
        <v>0</v>
      </c>
      <c r="BE55" s="407" t="e">
        <f>+N55-BC55</f>
        <v>#N/A</v>
      </c>
      <c r="BF55" s="407" t="e">
        <f>+P55-BD55</f>
        <v>#N/A</v>
      </c>
      <c r="BG55" s="565" t="e">
        <f>+VLOOKUP(MIN(BE55,BE56,BE57,BE58,BE59,BE60),Listados!$J$18:$K$24,2,TRUE)</f>
        <v>#N/A</v>
      </c>
      <c r="BH55" s="565" t="e">
        <f>+VLOOKUP(MIN(BF55,BF56,BF57,BF58,BF59,BF60),Listados!$J$27:$K$32,2,TRUE)</f>
        <v>#N/A</v>
      </c>
      <c r="BI55" s="565" t="e">
        <f>IF(AND(BG55&lt;&gt;"",BH55&lt;&gt;""),VLOOKUP(BG55&amp;BH55,Listados!$M$3:$N$27,2,FALSE),"")</f>
        <v>#N/A</v>
      </c>
      <c r="BJ55" s="573" t="e">
        <f>+IF($R55="Asumir el riesgo","NA","")</f>
        <v>#N/A</v>
      </c>
      <c r="BK55" s="573" t="e">
        <f>+IF($R55="Asumir el riesgo","NA","")</f>
        <v>#N/A</v>
      </c>
      <c r="BL55" s="573" t="e">
        <f>+IF($R55="Asumir el riesgo","NA","")</f>
        <v>#N/A</v>
      </c>
      <c r="BM55" s="939" t="e">
        <f>+IF($R55="Asumir el riesgo","NA","")</f>
        <v>#N/A</v>
      </c>
    </row>
    <row r="56" spans="1:65" ht="65.099999999999994" customHeight="1">
      <c r="A56" s="953"/>
      <c r="B56" s="949"/>
      <c r="C56" s="686"/>
      <c r="D56" s="401"/>
      <c r="E56" s="401"/>
      <c r="F56" s="948"/>
      <c r="G56" s="947"/>
      <c r="H56" s="375"/>
      <c r="I56" s="375"/>
      <c r="J56" s="375"/>
      <c r="K56" s="402"/>
      <c r="L56" s="403"/>
      <c r="M56" s="689"/>
      <c r="N56" s="943"/>
      <c r="O56" s="945"/>
      <c r="P56" s="943"/>
      <c r="Q56" s="565"/>
      <c r="R56" s="565"/>
      <c r="S56" s="332"/>
      <c r="T56" s="332"/>
      <c r="U56" s="347" t="s">
        <v>1179</v>
      </c>
      <c r="V56" s="408"/>
      <c r="W56" s="408"/>
      <c r="X56" s="408"/>
      <c r="Y56" s="332" t="str">
        <f t="shared" si="3"/>
        <v/>
      </c>
      <c r="Z56" s="408"/>
      <c r="AA56" s="332" t="str">
        <f t="shared" si="4"/>
        <v/>
      </c>
      <c r="AB56" s="332"/>
      <c r="AC56" s="332" t="str">
        <f t="shared" si="5"/>
        <v/>
      </c>
      <c r="AD56" s="332"/>
      <c r="AE56" s="332" t="str">
        <f t="shared" si="6"/>
        <v/>
      </c>
      <c r="AF56" s="332"/>
      <c r="AG56" s="332" t="str">
        <f t="shared" si="7"/>
        <v/>
      </c>
      <c r="AH56" s="332"/>
      <c r="AI56" s="332" t="str">
        <f t="shared" si="8"/>
        <v/>
      </c>
      <c r="AJ56" s="332"/>
      <c r="AK56" s="333" t="str">
        <f t="shared" si="0"/>
        <v/>
      </c>
      <c r="AL56" s="404" t="str">
        <f t="shared" si="11"/>
        <v/>
      </c>
      <c r="AM56" s="404" t="str">
        <f t="shared" si="9"/>
        <v/>
      </c>
      <c r="AN56" s="405"/>
      <c r="AO56" s="405"/>
      <c r="AP56" s="405"/>
      <c r="AQ56" s="405"/>
      <c r="AR56" s="405"/>
      <c r="AS56" s="405"/>
      <c r="AT56" s="405"/>
      <c r="AU56" s="400" t="str">
        <f>IFERROR(VLOOKUP(AT56,'Seguridad Información'!$I$61:$J$65,2,0),"")</f>
        <v/>
      </c>
      <c r="AV56" s="400"/>
      <c r="AW56" s="406" t="str">
        <f t="shared" si="1"/>
        <v/>
      </c>
      <c r="AX56" s="404" t="str">
        <f t="shared" si="2"/>
        <v/>
      </c>
      <c r="AY56" s="406" t="str">
        <f>IFERROR(VLOOKUP((CONCATENATE(AM56,AX56)),Listados!$U$3:$V$11,2,FALSE),"")</f>
        <v/>
      </c>
      <c r="AZ56" s="404">
        <f t="shared" si="10"/>
        <v>100</v>
      </c>
      <c r="BA56" s="942"/>
      <c r="BB56" s="942"/>
      <c r="BC56" s="407">
        <f>+IF(AND(W56="Preventivo",BB55="Fuerte"),2,IF(AND(W56="Preventivo",BB55="Moderado"),1,0))</f>
        <v>0</v>
      </c>
      <c r="BD56" s="407">
        <f>+IF(AND(W56="Detectivo/Correctivo",$BB55="Fuerte"),2,IF(AND(W56="Detectivo/Correctivo",$BB56="Moderado"),1,IF(AND(W56="Preventivo",$BB55="Fuerte"),1,0)))</f>
        <v>0</v>
      </c>
      <c r="BE56" s="407" t="e">
        <f>+N55-BC56</f>
        <v>#N/A</v>
      </c>
      <c r="BF56" s="407" t="e">
        <f>+P55-BD56</f>
        <v>#N/A</v>
      </c>
      <c r="BG56" s="565"/>
      <c r="BH56" s="565"/>
      <c r="BI56" s="565"/>
      <c r="BJ56" s="573"/>
      <c r="BK56" s="573"/>
      <c r="BL56" s="573"/>
      <c r="BM56" s="939"/>
    </row>
    <row r="57" spans="1:65" ht="65.099999999999994" customHeight="1">
      <c r="A57" s="953"/>
      <c r="B57" s="949"/>
      <c r="C57" s="686"/>
      <c r="D57" s="401"/>
      <c r="E57" s="401"/>
      <c r="F57" s="948"/>
      <c r="G57" s="947"/>
      <c r="H57" s="375"/>
      <c r="I57" s="375"/>
      <c r="J57" s="375"/>
      <c r="K57" s="402"/>
      <c r="L57" s="403"/>
      <c r="M57" s="689"/>
      <c r="N57" s="943"/>
      <c r="O57" s="945"/>
      <c r="P57" s="943"/>
      <c r="Q57" s="565"/>
      <c r="R57" s="565"/>
      <c r="S57" s="332"/>
      <c r="T57" s="332"/>
      <c r="U57" s="347" t="s">
        <v>1179</v>
      </c>
      <c r="V57" s="408"/>
      <c r="W57" s="408"/>
      <c r="X57" s="408"/>
      <c r="Y57" s="332" t="str">
        <f t="shared" si="3"/>
        <v/>
      </c>
      <c r="Z57" s="408"/>
      <c r="AA57" s="332" t="str">
        <f t="shared" si="4"/>
        <v/>
      </c>
      <c r="AB57" s="332"/>
      <c r="AC57" s="332" t="str">
        <f t="shared" si="5"/>
        <v/>
      </c>
      <c r="AD57" s="332"/>
      <c r="AE57" s="332" t="str">
        <f t="shared" si="6"/>
        <v/>
      </c>
      <c r="AF57" s="332"/>
      <c r="AG57" s="332" t="str">
        <f t="shared" si="7"/>
        <v/>
      </c>
      <c r="AH57" s="332"/>
      <c r="AI57" s="332" t="str">
        <f t="shared" si="8"/>
        <v/>
      </c>
      <c r="AJ57" s="332"/>
      <c r="AK57" s="333" t="str">
        <f t="shared" si="0"/>
        <v/>
      </c>
      <c r="AL57" s="404" t="str">
        <f t="shared" si="11"/>
        <v/>
      </c>
      <c r="AM57" s="404" t="str">
        <f t="shared" si="9"/>
        <v/>
      </c>
      <c r="AN57" s="405"/>
      <c r="AO57" s="405"/>
      <c r="AP57" s="405"/>
      <c r="AQ57" s="405"/>
      <c r="AR57" s="405"/>
      <c r="AS57" s="405"/>
      <c r="AT57" s="405"/>
      <c r="AU57" s="400" t="str">
        <f>IFERROR(VLOOKUP(AT57,'Seguridad Información'!$I$61:$J$65,2,0),"")</f>
        <v/>
      </c>
      <c r="AV57" s="400"/>
      <c r="AW57" s="406" t="str">
        <f t="shared" si="1"/>
        <v/>
      </c>
      <c r="AX57" s="404" t="str">
        <f t="shared" si="2"/>
        <v/>
      </c>
      <c r="AY57" s="406" t="str">
        <f>IFERROR(VLOOKUP((CONCATENATE(AM57,AX57)),Listados!$U$3:$V$11,2,FALSE),"")</f>
        <v/>
      </c>
      <c r="AZ57" s="404">
        <f t="shared" si="10"/>
        <v>100</v>
      </c>
      <c r="BA57" s="942"/>
      <c r="BB57" s="942"/>
      <c r="BC57" s="407">
        <f>+IF(AND(W57="Preventivo",BB55="Fuerte"),2,IF(AND(W57="Preventivo",BB55="Moderado"),1,0))</f>
        <v>0</v>
      </c>
      <c r="BD57" s="407">
        <f>+IF(AND(W57="Detectivo/Correctivo",$BB55="Fuerte"),2,IF(AND(W57="Detectivo/Correctivo",$BB57="Moderado"),1,IF(AND(W57="Preventivo",$BB55="Fuerte"),1,0)))</f>
        <v>0</v>
      </c>
      <c r="BE57" s="407" t="e">
        <f>+N55-BC57</f>
        <v>#N/A</v>
      </c>
      <c r="BF57" s="407" t="e">
        <f>+P55-BD57</f>
        <v>#N/A</v>
      </c>
      <c r="BG57" s="565"/>
      <c r="BH57" s="565"/>
      <c r="BI57" s="565"/>
      <c r="BJ57" s="573"/>
      <c r="BK57" s="573"/>
      <c r="BL57" s="573"/>
      <c r="BM57" s="939"/>
    </row>
    <row r="58" spans="1:65" ht="65.099999999999994" customHeight="1">
      <c r="A58" s="953"/>
      <c r="B58" s="949"/>
      <c r="C58" s="686"/>
      <c r="D58" s="401"/>
      <c r="E58" s="401"/>
      <c r="F58" s="948"/>
      <c r="G58" s="947"/>
      <c r="H58" s="375"/>
      <c r="I58" s="375"/>
      <c r="J58" s="375"/>
      <c r="K58" s="402"/>
      <c r="L58" s="403"/>
      <c r="M58" s="689"/>
      <c r="N58" s="943"/>
      <c r="O58" s="945"/>
      <c r="P58" s="943"/>
      <c r="Q58" s="565"/>
      <c r="R58" s="565"/>
      <c r="S58" s="332"/>
      <c r="T58" s="332"/>
      <c r="U58" s="347" t="s">
        <v>1179</v>
      </c>
      <c r="V58" s="408"/>
      <c r="W58" s="408"/>
      <c r="X58" s="408"/>
      <c r="Y58" s="332" t="str">
        <f t="shared" si="3"/>
        <v/>
      </c>
      <c r="Z58" s="408"/>
      <c r="AA58" s="332" t="str">
        <f t="shared" si="4"/>
        <v/>
      </c>
      <c r="AB58" s="332"/>
      <c r="AC58" s="332" t="str">
        <f t="shared" si="5"/>
        <v/>
      </c>
      <c r="AD58" s="332"/>
      <c r="AE58" s="332" t="str">
        <f t="shared" si="6"/>
        <v/>
      </c>
      <c r="AF58" s="332"/>
      <c r="AG58" s="332" t="str">
        <f t="shared" si="7"/>
        <v/>
      </c>
      <c r="AH58" s="332"/>
      <c r="AI58" s="332" t="str">
        <f t="shared" si="8"/>
        <v/>
      </c>
      <c r="AJ58" s="332"/>
      <c r="AK58" s="333" t="str">
        <f t="shared" si="0"/>
        <v/>
      </c>
      <c r="AL58" s="404" t="str">
        <f t="shared" si="11"/>
        <v/>
      </c>
      <c r="AM58" s="404" t="str">
        <f t="shared" si="9"/>
        <v/>
      </c>
      <c r="AN58" s="405"/>
      <c r="AO58" s="405"/>
      <c r="AP58" s="405"/>
      <c r="AQ58" s="405"/>
      <c r="AR58" s="405"/>
      <c r="AS58" s="405"/>
      <c r="AT58" s="405"/>
      <c r="AU58" s="400" t="str">
        <f>IFERROR(VLOOKUP(AT58,'Seguridad Información'!$I$61:$J$65,2,0),"")</f>
        <v/>
      </c>
      <c r="AV58" s="400"/>
      <c r="AW58" s="406" t="str">
        <f t="shared" si="1"/>
        <v/>
      </c>
      <c r="AX58" s="404" t="str">
        <f t="shared" si="2"/>
        <v/>
      </c>
      <c r="AY58" s="406" t="str">
        <f>IFERROR(VLOOKUP((CONCATENATE(AM58,AX58)),Listados!$U$3:$V$11,2,FALSE),"")</f>
        <v/>
      </c>
      <c r="AZ58" s="404">
        <f t="shared" si="10"/>
        <v>100</v>
      </c>
      <c r="BA58" s="942"/>
      <c r="BB58" s="942"/>
      <c r="BC58" s="407">
        <f>+IF(AND(W58="Preventivo",BB55="Fuerte"),2,IF(AND(W58="Preventivo",BB55="Moderado"),1,0))</f>
        <v>0</v>
      </c>
      <c r="BD58" s="407">
        <f>+IF(AND(W58="Detectivo/Correctivo",$BB55="Fuerte"),2,IF(AND(W58="Detectivo/Correctivo",$BB58="Moderado"),1,IF(AND(W58="Preventivo",$BB55="Fuerte"),1,0)))</f>
        <v>0</v>
      </c>
      <c r="BE58" s="407" t="e">
        <f>+N55-BC58</f>
        <v>#N/A</v>
      </c>
      <c r="BF58" s="407" t="e">
        <f>+P55-BD58</f>
        <v>#N/A</v>
      </c>
      <c r="BG58" s="565"/>
      <c r="BH58" s="565"/>
      <c r="BI58" s="565"/>
      <c r="BJ58" s="573"/>
      <c r="BK58" s="573"/>
      <c r="BL58" s="573"/>
      <c r="BM58" s="939"/>
    </row>
    <row r="59" spans="1:65" ht="65.099999999999994" customHeight="1">
      <c r="A59" s="953"/>
      <c r="B59" s="949"/>
      <c r="C59" s="686"/>
      <c r="D59" s="401"/>
      <c r="E59" s="401"/>
      <c r="F59" s="948"/>
      <c r="G59" s="947"/>
      <c r="H59" s="375"/>
      <c r="I59" s="375"/>
      <c r="J59" s="375"/>
      <c r="K59" s="402"/>
      <c r="L59" s="403"/>
      <c r="M59" s="689"/>
      <c r="N59" s="943"/>
      <c r="O59" s="945"/>
      <c r="P59" s="943"/>
      <c r="Q59" s="565"/>
      <c r="R59" s="565"/>
      <c r="S59" s="332"/>
      <c r="T59" s="332"/>
      <c r="U59" s="347" t="s">
        <v>1179</v>
      </c>
      <c r="V59" s="408"/>
      <c r="W59" s="408"/>
      <c r="X59" s="408"/>
      <c r="Y59" s="332" t="str">
        <f t="shared" si="3"/>
        <v/>
      </c>
      <c r="Z59" s="408"/>
      <c r="AA59" s="332" t="str">
        <f t="shared" si="4"/>
        <v/>
      </c>
      <c r="AB59" s="332"/>
      <c r="AC59" s="332" t="str">
        <f t="shared" si="5"/>
        <v/>
      </c>
      <c r="AD59" s="332"/>
      <c r="AE59" s="332" t="str">
        <f t="shared" si="6"/>
        <v/>
      </c>
      <c r="AF59" s="332"/>
      <c r="AG59" s="332" t="str">
        <f t="shared" si="7"/>
        <v/>
      </c>
      <c r="AH59" s="332"/>
      <c r="AI59" s="332" t="str">
        <f t="shared" si="8"/>
        <v/>
      </c>
      <c r="AJ59" s="332"/>
      <c r="AK59" s="333" t="str">
        <f t="shared" si="0"/>
        <v/>
      </c>
      <c r="AL59" s="404" t="str">
        <f t="shared" si="11"/>
        <v/>
      </c>
      <c r="AM59" s="404" t="str">
        <f t="shared" si="9"/>
        <v/>
      </c>
      <c r="AN59" s="405"/>
      <c r="AO59" s="405"/>
      <c r="AP59" s="405"/>
      <c r="AQ59" s="405"/>
      <c r="AR59" s="405"/>
      <c r="AS59" s="405"/>
      <c r="AT59" s="405"/>
      <c r="AU59" s="400" t="str">
        <f>IFERROR(VLOOKUP(AT59,'Seguridad Información'!$I$61:$J$65,2,0),"")</f>
        <v/>
      </c>
      <c r="AV59" s="400"/>
      <c r="AW59" s="406" t="str">
        <f t="shared" si="1"/>
        <v/>
      </c>
      <c r="AX59" s="404" t="str">
        <f t="shared" si="2"/>
        <v/>
      </c>
      <c r="AY59" s="406" t="str">
        <f>IFERROR(VLOOKUP((CONCATENATE(AM59,AX59)),Listados!$U$3:$V$11,2,FALSE),"")</f>
        <v/>
      </c>
      <c r="AZ59" s="404">
        <f t="shared" si="10"/>
        <v>100</v>
      </c>
      <c r="BA59" s="942"/>
      <c r="BB59" s="942"/>
      <c r="BC59" s="407">
        <f>+IF(AND(W59="Preventivo",BB55="Fuerte"),2,IF(AND(W59="Preventivo",BB55="Moderado"),1,0))</f>
        <v>0</v>
      </c>
      <c r="BD59" s="407">
        <f>+IF(AND(W59="Detectivo/Correctivo",$BB55="Fuerte"),2,IF(AND(W59="Detectivo/Correctivo",$BB59="Moderado"),1,IF(AND(W59="Preventivo",$BB55="Fuerte"),1,0)))</f>
        <v>0</v>
      </c>
      <c r="BE59" s="407" t="e">
        <f>+N55-BC59</f>
        <v>#N/A</v>
      </c>
      <c r="BF59" s="407" t="e">
        <f>+P55-BD59</f>
        <v>#N/A</v>
      </c>
      <c r="BG59" s="565"/>
      <c r="BH59" s="565"/>
      <c r="BI59" s="565"/>
      <c r="BJ59" s="573"/>
      <c r="BK59" s="573"/>
      <c r="BL59" s="573"/>
      <c r="BM59" s="939"/>
    </row>
    <row r="60" spans="1:65" ht="65.099999999999994" customHeight="1">
      <c r="A60" s="953"/>
      <c r="B60" s="949"/>
      <c r="C60" s="686"/>
      <c r="D60" s="401"/>
      <c r="E60" s="401"/>
      <c r="F60" s="948"/>
      <c r="G60" s="947"/>
      <c r="H60" s="375"/>
      <c r="I60" s="375"/>
      <c r="J60" s="375"/>
      <c r="K60" s="402"/>
      <c r="L60" s="403"/>
      <c r="M60" s="689"/>
      <c r="N60" s="943"/>
      <c r="O60" s="945"/>
      <c r="P60" s="943"/>
      <c r="Q60" s="565"/>
      <c r="R60" s="565"/>
      <c r="S60" s="332"/>
      <c r="T60" s="332"/>
      <c r="U60" s="347" t="s">
        <v>1179</v>
      </c>
      <c r="V60" s="408"/>
      <c r="W60" s="408"/>
      <c r="X60" s="408"/>
      <c r="Y60" s="332" t="str">
        <f t="shared" si="3"/>
        <v/>
      </c>
      <c r="Z60" s="408"/>
      <c r="AA60" s="332" t="str">
        <f t="shared" si="4"/>
        <v/>
      </c>
      <c r="AB60" s="332"/>
      <c r="AC60" s="332" t="str">
        <f t="shared" si="5"/>
        <v/>
      </c>
      <c r="AD60" s="332"/>
      <c r="AE60" s="332" t="str">
        <f t="shared" si="6"/>
        <v/>
      </c>
      <c r="AF60" s="332"/>
      <c r="AG60" s="332" t="str">
        <f t="shared" si="7"/>
        <v/>
      </c>
      <c r="AH60" s="332"/>
      <c r="AI60" s="332" t="str">
        <f t="shared" si="8"/>
        <v/>
      </c>
      <c r="AJ60" s="332"/>
      <c r="AK60" s="333" t="str">
        <f t="shared" si="0"/>
        <v/>
      </c>
      <c r="AL60" s="404" t="str">
        <f t="shared" si="11"/>
        <v/>
      </c>
      <c r="AM60" s="404" t="str">
        <f t="shared" si="9"/>
        <v/>
      </c>
      <c r="AN60" s="405"/>
      <c r="AO60" s="405"/>
      <c r="AP60" s="405"/>
      <c r="AQ60" s="405"/>
      <c r="AR60" s="405"/>
      <c r="AS60" s="405"/>
      <c r="AT60" s="405"/>
      <c r="AU60" s="400" t="str">
        <f>IFERROR(VLOOKUP(AT60,'Seguridad Información'!$I$61:$J$65,2,0),"")</f>
        <v/>
      </c>
      <c r="AV60" s="400"/>
      <c r="AW60" s="406" t="str">
        <f t="shared" si="1"/>
        <v/>
      </c>
      <c r="AX60" s="404" t="str">
        <f t="shared" si="2"/>
        <v/>
      </c>
      <c r="AY60" s="406" t="str">
        <f>IFERROR(VLOOKUP((CONCATENATE(AM60,AX60)),Listados!$U$3:$V$11,2,FALSE),"")</f>
        <v/>
      </c>
      <c r="AZ60" s="404">
        <f t="shared" si="10"/>
        <v>100</v>
      </c>
      <c r="BA60" s="942"/>
      <c r="BB60" s="942"/>
      <c r="BC60" s="407">
        <f>+IF(AND(W60="Preventivo",BB55="Fuerte"),2,IF(AND(W60="Preventivo",BB55="Moderado"),1,0))</f>
        <v>0</v>
      </c>
      <c r="BD60" s="407">
        <f>+IF(AND(W60="Detectivo/Correctivo",$BB55="Fuerte"),2,IF(AND(W60="Detectivo/Correctivo",$BB60="Moderado"),1,IF(AND(W60="Preventivo",$BB55="Fuerte"),1,0)))</f>
        <v>0</v>
      </c>
      <c r="BE60" s="407" t="e">
        <f>+N55-BC60</f>
        <v>#N/A</v>
      </c>
      <c r="BF60" s="407" t="e">
        <f>+P55-BD60</f>
        <v>#N/A</v>
      </c>
      <c r="BG60" s="565"/>
      <c r="BH60" s="565"/>
      <c r="BI60" s="565"/>
      <c r="BJ60" s="573"/>
      <c r="BK60" s="573"/>
      <c r="BL60" s="573"/>
      <c r="BM60" s="939"/>
    </row>
    <row r="61" spans="1:65" ht="65.099999999999994" customHeight="1">
      <c r="A61" s="953">
        <v>10</v>
      </c>
      <c r="B61" s="949"/>
      <c r="C61" s="686" t="str">
        <f>IFERROR(VLOOKUP(B61,Listados!B$3:C$20,2,FALSE),"")</f>
        <v/>
      </c>
      <c r="D61" s="401"/>
      <c r="E61" s="401"/>
      <c r="F61" s="948"/>
      <c r="G61" s="947"/>
      <c r="H61" s="375"/>
      <c r="I61" s="375"/>
      <c r="J61" s="375"/>
      <c r="K61" s="402"/>
      <c r="L61" s="403"/>
      <c r="M61" s="689"/>
      <c r="N61" s="943" t="e">
        <f>+VLOOKUP(M61,Listados!$K$8:$L$12,2,0)</f>
        <v>#N/A</v>
      </c>
      <c r="O61" s="945"/>
      <c r="P61" s="943" t="e">
        <f>+VLOOKUP(O61,Listados!$K$13:$L$17,2,0)</f>
        <v>#N/A</v>
      </c>
      <c r="Q61" s="565" t="str">
        <f>IF(AND(M61&lt;&gt;"",O61&lt;&gt;""),VLOOKUP(M61&amp;O61,Listados!$M$3:$N$27,2,FALSE),"")</f>
        <v/>
      </c>
      <c r="R61" s="565" t="e">
        <f>+VLOOKUP(Q61,Listados!$P$3:$Q$6,2,FALSE)</f>
        <v>#N/A</v>
      </c>
      <c r="S61" s="332"/>
      <c r="T61" s="332"/>
      <c r="U61" s="347" t="s">
        <v>1179</v>
      </c>
      <c r="V61" s="408"/>
      <c r="W61" s="408"/>
      <c r="X61" s="408"/>
      <c r="Y61" s="332" t="str">
        <f t="shared" si="3"/>
        <v/>
      </c>
      <c r="Z61" s="408"/>
      <c r="AA61" s="332" t="str">
        <f t="shared" si="4"/>
        <v/>
      </c>
      <c r="AB61" s="332"/>
      <c r="AC61" s="332" t="str">
        <f t="shared" si="5"/>
        <v/>
      </c>
      <c r="AD61" s="332"/>
      <c r="AE61" s="332" t="str">
        <f t="shared" si="6"/>
        <v/>
      </c>
      <c r="AF61" s="332"/>
      <c r="AG61" s="332" t="str">
        <f t="shared" si="7"/>
        <v/>
      </c>
      <c r="AH61" s="332"/>
      <c r="AI61" s="332" t="str">
        <f t="shared" si="8"/>
        <v/>
      </c>
      <c r="AJ61" s="332"/>
      <c r="AK61" s="333" t="str">
        <f t="shared" si="0"/>
        <v/>
      </c>
      <c r="AL61" s="404" t="str">
        <f t="shared" si="11"/>
        <v/>
      </c>
      <c r="AM61" s="404" t="str">
        <f t="shared" si="9"/>
        <v/>
      </c>
      <c r="AN61" s="405"/>
      <c r="AO61" s="405"/>
      <c r="AP61" s="405"/>
      <c r="AQ61" s="405"/>
      <c r="AR61" s="405"/>
      <c r="AS61" s="405"/>
      <c r="AT61" s="405"/>
      <c r="AU61" s="400" t="str">
        <f>IFERROR(VLOOKUP(AT61,'Seguridad Información'!$I$61:$J$65,2,0),"")</f>
        <v/>
      </c>
      <c r="AV61" s="400"/>
      <c r="AW61" s="406" t="str">
        <f t="shared" si="1"/>
        <v/>
      </c>
      <c r="AX61" s="404" t="str">
        <f t="shared" si="2"/>
        <v/>
      </c>
      <c r="AY61" s="406" t="str">
        <f>IFERROR(VLOOKUP((CONCATENATE(AM61,AX61)),Listados!$U$3:$V$11,2,FALSE),"")</f>
        <v/>
      </c>
      <c r="AZ61" s="404">
        <f t="shared" si="10"/>
        <v>100</v>
      </c>
      <c r="BA61" s="942">
        <f>AVERAGE(AZ61:AZ66)</f>
        <v>100</v>
      </c>
      <c r="BB61" s="942" t="str">
        <f>IF(BA61&lt;=50, "Débil", IF(BA61&lt;=99,"Moderado","Fuerte"))</f>
        <v>Fuerte</v>
      </c>
      <c r="BC61" s="407">
        <f>+IF(AND(W61="Preventivo",BB61="Fuerte"),2,IF(AND(W61="Preventivo",BB61="Moderado"),1,0))</f>
        <v>0</v>
      </c>
      <c r="BD61" s="407">
        <f>+IF(AND(W61="Detectivo/Correctivo",$BB61="Fuerte"),2,IF(AND(W61="Detectivo/Correctivo",$BB61="Moderado"),1,IF(AND(W61="Preventivo",$BB61="Fuerte"),1,0)))</f>
        <v>0</v>
      </c>
      <c r="BE61" s="407" t="e">
        <f>+N61-BC61</f>
        <v>#N/A</v>
      </c>
      <c r="BF61" s="407" t="e">
        <f>+P61-BD61</f>
        <v>#N/A</v>
      </c>
      <c r="BG61" s="565" t="e">
        <f>+VLOOKUP(MIN(BE61,BE62,BE63,BE64,BE65,BE66),Listados!$J$18:$K$24,2,TRUE)</f>
        <v>#N/A</v>
      </c>
      <c r="BH61" s="565" t="e">
        <f>+VLOOKUP(MIN(BF61,BF62,BF63,BF64,BF65,BF66),Listados!$J$27:$K$32,2,TRUE)</f>
        <v>#N/A</v>
      </c>
      <c r="BI61" s="565" t="e">
        <f>IF(AND(BG61&lt;&gt;"",BH61&lt;&gt;""),VLOOKUP(BG61&amp;BH61,Listados!$M$3:$N$27,2,FALSE),"")</f>
        <v>#N/A</v>
      </c>
      <c r="BJ61" s="573" t="e">
        <f>+IF($R61="Asumir el riesgo","NA","")</f>
        <v>#N/A</v>
      </c>
      <c r="BK61" s="573" t="e">
        <f>+IF($R61="Asumir el riesgo","NA","")</f>
        <v>#N/A</v>
      </c>
      <c r="BL61" s="573" t="e">
        <f>+IF($R61="Asumir el riesgo","NA","")</f>
        <v>#N/A</v>
      </c>
      <c r="BM61" s="939" t="e">
        <f>+IF($R61="Asumir el riesgo","NA","")</f>
        <v>#N/A</v>
      </c>
    </row>
    <row r="62" spans="1:65" ht="65.099999999999994" customHeight="1">
      <c r="A62" s="953"/>
      <c r="B62" s="949"/>
      <c r="C62" s="686"/>
      <c r="D62" s="401"/>
      <c r="E62" s="401"/>
      <c r="F62" s="948"/>
      <c r="G62" s="947"/>
      <c r="H62" s="375"/>
      <c r="I62" s="375"/>
      <c r="J62" s="375"/>
      <c r="K62" s="402"/>
      <c r="L62" s="403"/>
      <c r="M62" s="689"/>
      <c r="N62" s="943"/>
      <c r="O62" s="945"/>
      <c r="P62" s="943"/>
      <c r="Q62" s="565"/>
      <c r="R62" s="565"/>
      <c r="S62" s="332"/>
      <c r="T62" s="332"/>
      <c r="U62" s="347" t="s">
        <v>1179</v>
      </c>
      <c r="V62" s="408"/>
      <c r="W62" s="408"/>
      <c r="X62" s="408"/>
      <c r="Y62" s="332" t="str">
        <f t="shared" si="3"/>
        <v/>
      </c>
      <c r="Z62" s="408"/>
      <c r="AA62" s="332" t="str">
        <f t="shared" si="4"/>
        <v/>
      </c>
      <c r="AB62" s="332"/>
      <c r="AC62" s="332" t="str">
        <f t="shared" si="5"/>
        <v/>
      </c>
      <c r="AD62" s="332"/>
      <c r="AE62" s="332" t="str">
        <f t="shared" si="6"/>
        <v/>
      </c>
      <c r="AF62" s="332"/>
      <c r="AG62" s="332" t="str">
        <f t="shared" si="7"/>
        <v/>
      </c>
      <c r="AH62" s="332"/>
      <c r="AI62" s="332" t="str">
        <f t="shared" si="8"/>
        <v/>
      </c>
      <c r="AJ62" s="332"/>
      <c r="AK62" s="333" t="str">
        <f t="shared" si="0"/>
        <v/>
      </c>
      <c r="AL62" s="404" t="str">
        <f t="shared" si="11"/>
        <v/>
      </c>
      <c r="AM62" s="404" t="str">
        <f t="shared" si="9"/>
        <v/>
      </c>
      <c r="AN62" s="405"/>
      <c r="AO62" s="405"/>
      <c r="AP62" s="405"/>
      <c r="AQ62" s="405"/>
      <c r="AR62" s="405"/>
      <c r="AS62" s="405"/>
      <c r="AT62" s="405"/>
      <c r="AU62" s="400" t="str">
        <f>IFERROR(VLOOKUP(AT62,'Seguridad Información'!$I$61:$J$65,2,0),"")</f>
        <v/>
      </c>
      <c r="AV62" s="400"/>
      <c r="AW62" s="406" t="str">
        <f t="shared" si="1"/>
        <v/>
      </c>
      <c r="AX62" s="404" t="str">
        <f t="shared" si="2"/>
        <v/>
      </c>
      <c r="AY62" s="406" t="str">
        <f>IFERROR(VLOOKUP((CONCATENATE(AM62,AX62)),Listados!$U$3:$V$11,2,FALSE),"")</f>
        <v/>
      </c>
      <c r="AZ62" s="404">
        <f t="shared" si="10"/>
        <v>100</v>
      </c>
      <c r="BA62" s="942"/>
      <c r="BB62" s="942"/>
      <c r="BC62" s="407">
        <f>+IF(AND(W62="Preventivo",BB61="Fuerte"),2,IF(AND(W62="Preventivo",BB61="Moderado"),1,0))</f>
        <v>0</v>
      </c>
      <c r="BD62" s="407">
        <f>+IF(AND(W62="Detectivo/Correctivo",$BB61="Fuerte"),2,IF(AND(W62="Detectivo/Correctivo",$BB62="Moderado"),1,IF(AND(W62="Preventivo",$BB61="Fuerte"),1,0)))</f>
        <v>0</v>
      </c>
      <c r="BE62" s="407" t="e">
        <f>+N61-BC62</f>
        <v>#N/A</v>
      </c>
      <c r="BF62" s="407" t="e">
        <f>+P61-BD62</f>
        <v>#N/A</v>
      </c>
      <c r="BG62" s="565"/>
      <c r="BH62" s="565"/>
      <c r="BI62" s="565"/>
      <c r="BJ62" s="573"/>
      <c r="BK62" s="573"/>
      <c r="BL62" s="573"/>
      <c r="BM62" s="939"/>
    </row>
    <row r="63" spans="1:65" ht="65.099999999999994" customHeight="1">
      <c r="A63" s="953"/>
      <c r="B63" s="949"/>
      <c r="C63" s="686"/>
      <c r="D63" s="401"/>
      <c r="E63" s="401"/>
      <c r="F63" s="948"/>
      <c r="G63" s="947"/>
      <c r="H63" s="375"/>
      <c r="I63" s="375"/>
      <c r="J63" s="375"/>
      <c r="K63" s="402"/>
      <c r="L63" s="403"/>
      <c r="M63" s="689"/>
      <c r="N63" s="943"/>
      <c r="O63" s="945"/>
      <c r="P63" s="943"/>
      <c r="Q63" s="565"/>
      <c r="R63" s="565"/>
      <c r="S63" s="332"/>
      <c r="T63" s="332"/>
      <c r="U63" s="347" t="s">
        <v>1179</v>
      </c>
      <c r="V63" s="408"/>
      <c r="W63" s="408"/>
      <c r="X63" s="408"/>
      <c r="Y63" s="332" t="str">
        <f t="shared" si="3"/>
        <v/>
      </c>
      <c r="Z63" s="408"/>
      <c r="AA63" s="332" t="str">
        <f t="shared" si="4"/>
        <v/>
      </c>
      <c r="AB63" s="332"/>
      <c r="AC63" s="332" t="str">
        <f t="shared" si="5"/>
        <v/>
      </c>
      <c r="AD63" s="332"/>
      <c r="AE63" s="332" t="str">
        <f t="shared" si="6"/>
        <v/>
      </c>
      <c r="AF63" s="332"/>
      <c r="AG63" s="332" t="str">
        <f t="shared" si="7"/>
        <v/>
      </c>
      <c r="AH63" s="332"/>
      <c r="AI63" s="332" t="str">
        <f t="shared" si="8"/>
        <v/>
      </c>
      <c r="AJ63" s="332"/>
      <c r="AK63" s="333" t="str">
        <f t="shared" si="0"/>
        <v/>
      </c>
      <c r="AL63" s="404" t="str">
        <f t="shared" si="11"/>
        <v/>
      </c>
      <c r="AM63" s="404" t="str">
        <f t="shared" si="9"/>
        <v/>
      </c>
      <c r="AN63" s="405"/>
      <c r="AO63" s="405"/>
      <c r="AP63" s="405"/>
      <c r="AQ63" s="405"/>
      <c r="AR63" s="405"/>
      <c r="AS63" s="405"/>
      <c r="AT63" s="405"/>
      <c r="AU63" s="400" t="str">
        <f>IFERROR(VLOOKUP(AT63,'Seguridad Información'!$I$61:$J$65,2,0),"")</f>
        <v/>
      </c>
      <c r="AV63" s="400"/>
      <c r="AW63" s="406" t="str">
        <f t="shared" si="1"/>
        <v/>
      </c>
      <c r="AX63" s="404" t="str">
        <f t="shared" si="2"/>
        <v/>
      </c>
      <c r="AY63" s="406" t="str">
        <f>IFERROR(VLOOKUP((CONCATENATE(AM63,AX63)),Listados!$U$3:$V$11,2,FALSE),"")</f>
        <v/>
      </c>
      <c r="AZ63" s="404">
        <f t="shared" si="10"/>
        <v>100</v>
      </c>
      <c r="BA63" s="942"/>
      <c r="BB63" s="942"/>
      <c r="BC63" s="407">
        <f>+IF(AND(W63="Preventivo",BB61="Fuerte"),2,IF(AND(W63="Preventivo",BB61="Moderado"),1,0))</f>
        <v>0</v>
      </c>
      <c r="BD63" s="407">
        <f>+IF(AND(W63="Detectivo/Correctivo",$BB61="Fuerte"),2,IF(AND(W63="Detectivo/Correctivo",$BB63="Moderado"),1,IF(AND(W63="Preventivo",$BB61="Fuerte"),1,0)))</f>
        <v>0</v>
      </c>
      <c r="BE63" s="407" t="e">
        <f>+N61-BC63</f>
        <v>#N/A</v>
      </c>
      <c r="BF63" s="407" t="e">
        <f>+P61-BD63</f>
        <v>#N/A</v>
      </c>
      <c r="BG63" s="565"/>
      <c r="BH63" s="565"/>
      <c r="BI63" s="565"/>
      <c r="BJ63" s="573"/>
      <c r="BK63" s="573"/>
      <c r="BL63" s="573"/>
      <c r="BM63" s="939"/>
    </row>
    <row r="64" spans="1:65" ht="65.099999999999994" customHeight="1">
      <c r="A64" s="953"/>
      <c r="B64" s="949"/>
      <c r="C64" s="686"/>
      <c r="D64" s="401"/>
      <c r="E64" s="401"/>
      <c r="F64" s="948"/>
      <c r="G64" s="947"/>
      <c r="H64" s="375"/>
      <c r="I64" s="375"/>
      <c r="J64" s="375"/>
      <c r="K64" s="402"/>
      <c r="L64" s="403"/>
      <c r="M64" s="689"/>
      <c r="N64" s="943"/>
      <c r="O64" s="945"/>
      <c r="P64" s="943"/>
      <c r="Q64" s="565"/>
      <c r="R64" s="565"/>
      <c r="S64" s="332"/>
      <c r="T64" s="332"/>
      <c r="U64" s="347" t="s">
        <v>1179</v>
      </c>
      <c r="V64" s="408"/>
      <c r="W64" s="408"/>
      <c r="X64" s="408"/>
      <c r="Y64" s="332" t="str">
        <f t="shared" si="3"/>
        <v/>
      </c>
      <c r="Z64" s="408"/>
      <c r="AA64" s="332" t="str">
        <f t="shared" si="4"/>
        <v/>
      </c>
      <c r="AB64" s="332"/>
      <c r="AC64" s="332" t="str">
        <f t="shared" si="5"/>
        <v/>
      </c>
      <c r="AD64" s="332"/>
      <c r="AE64" s="332" t="str">
        <f t="shared" si="6"/>
        <v/>
      </c>
      <c r="AF64" s="332"/>
      <c r="AG64" s="332" t="str">
        <f t="shared" si="7"/>
        <v/>
      </c>
      <c r="AH64" s="332"/>
      <c r="AI64" s="332" t="str">
        <f t="shared" si="8"/>
        <v/>
      </c>
      <c r="AJ64" s="332"/>
      <c r="AK64" s="333" t="str">
        <f t="shared" si="0"/>
        <v/>
      </c>
      <c r="AL64" s="404" t="str">
        <f t="shared" si="11"/>
        <v/>
      </c>
      <c r="AM64" s="404" t="str">
        <f t="shared" si="9"/>
        <v/>
      </c>
      <c r="AN64" s="405"/>
      <c r="AO64" s="405"/>
      <c r="AP64" s="405"/>
      <c r="AQ64" s="405"/>
      <c r="AR64" s="405"/>
      <c r="AS64" s="405"/>
      <c r="AT64" s="405"/>
      <c r="AU64" s="400" t="str">
        <f>IFERROR(VLOOKUP(AT64,'Seguridad Información'!$I$61:$J$65,2,0),"")</f>
        <v/>
      </c>
      <c r="AV64" s="400"/>
      <c r="AW64" s="406" t="str">
        <f t="shared" si="1"/>
        <v/>
      </c>
      <c r="AX64" s="404" t="str">
        <f t="shared" si="2"/>
        <v/>
      </c>
      <c r="AY64" s="406" t="str">
        <f>IFERROR(VLOOKUP((CONCATENATE(AM64,AX64)),Listados!$U$3:$V$11,2,FALSE),"")</f>
        <v/>
      </c>
      <c r="AZ64" s="404">
        <f t="shared" si="10"/>
        <v>100</v>
      </c>
      <c r="BA64" s="942"/>
      <c r="BB64" s="942"/>
      <c r="BC64" s="407">
        <f>+IF(AND(W64="Preventivo",BB61="Fuerte"),2,IF(AND(W64="Preventivo",BB61="Moderado"),1,0))</f>
        <v>0</v>
      </c>
      <c r="BD64" s="407">
        <f>+IF(AND(W64="Detectivo/Correctivo",$BB61="Fuerte"),2,IF(AND(W64="Detectivo/Correctivo",$BB64="Moderado"),1,IF(AND(W64="Preventivo",$BB61="Fuerte"),1,0)))</f>
        <v>0</v>
      </c>
      <c r="BE64" s="407" t="e">
        <f>+N61-BC64</f>
        <v>#N/A</v>
      </c>
      <c r="BF64" s="407" t="e">
        <f>+P61-BD64</f>
        <v>#N/A</v>
      </c>
      <c r="BG64" s="565"/>
      <c r="BH64" s="565"/>
      <c r="BI64" s="565"/>
      <c r="BJ64" s="573"/>
      <c r="BK64" s="573"/>
      <c r="BL64" s="573"/>
      <c r="BM64" s="939"/>
    </row>
    <row r="65" spans="1:65" ht="65.099999999999994" customHeight="1">
      <c r="A65" s="953"/>
      <c r="B65" s="949"/>
      <c r="C65" s="686"/>
      <c r="D65" s="401"/>
      <c r="E65" s="401"/>
      <c r="F65" s="948"/>
      <c r="G65" s="947"/>
      <c r="H65" s="375"/>
      <c r="I65" s="375"/>
      <c r="J65" s="375"/>
      <c r="K65" s="402"/>
      <c r="L65" s="403"/>
      <c r="M65" s="689"/>
      <c r="N65" s="943"/>
      <c r="O65" s="945"/>
      <c r="P65" s="943"/>
      <c r="Q65" s="565"/>
      <c r="R65" s="565"/>
      <c r="S65" s="332"/>
      <c r="T65" s="332"/>
      <c r="U65" s="347" t="s">
        <v>1179</v>
      </c>
      <c r="V65" s="408"/>
      <c r="W65" s="408"/>
      <c r="X65" s="408"/>
      <c r="Y65" s="332" t="str">
        <f t="shared" si="3"/>
        <v/>
      </c>
      <c r="Z65" s="408"/>
      <c r="AA65" s="332" t="str">
        <f t="shared" si="4"/>
        <v/>
      </c>
      <c r="AB65" s="332"/>
      <c r="AC65" s="332" t="str">
        <f t="shared" si="5"/>
        <v/>
      </c>
      <c r="AD65" s="332"/>
      <c r="AE65" s="332" t="str">
        <f t="shared" si="6"/>
        <v/>
      </c>
      <c r="AF65" s="332"/>
      <c r="AG65" s="332" t="str">
        <f t="shared" si="7"/>
        <v/>
      </c>
      <c r="AH65" s="332"/>
      <c r="AI65" s="332" t="str">
        <f t="shared" si="8"/>
        <v/>
      </c>
      <c r="AJ65" s="332"/>
      <c r="AK65" s="333" t="str">
        <f t="shared" si="0"/>
        <v/>
      </c>
      <c r="AL65" s="404" t="str">
        <f t="shared" si="11"/>
        <v/>
      </c>
      <c r="AM65" s="404" t="str">
        <f t="shared" si="9"/>
        <v/>
      </c>
      <c r="AN65" s="405"/>
      <c r="AO65" s="405"/>
      <c r="AP65" s="405"/>
      <c r="AQ65" s="405"/>
      <c r="AR65" s="405"/>
      <c r="AS65" s="405"/>
      <c r="AT65" s="405"/>
      <c r="AU65" s="400" t="str">
        <f>IFERROR(VLOOKUP(AT65,'Seguridad Información'!$I$61:$J$65,2,0),"")</f>
        <v/>
      </c>
      <c r="AV65" s="400"/>
      <c r="AW65" s="406" t="str">
        <f t="shared" si="1"/>
        <v/>
      </c>
      <c r="AX65" s="404" t="str">
        <f t="shared" si="2"/>
        <v/>
      </c>
      <c r="AY65" s="406" t="str">
        <f>IFERROR(VLOOKUP((CONCATENATE(AM65,AX65)),Listados!$U$3:$V$11,2,FALSE),"")</f>
        <v/>
      </c>
      <c r="AZ65" s="404">
        <f t="shared" si="10"/>
        <v>100</v>
      </c>
      <c r="BA65" s="942"/>
      <c r="BB65" s="942"/>
      <c r="BC65" s="407">
        <f>+IF(AND(W65="Preventivo",BB61="Fuerte"),2,IF(AND(W65="Preventivo",BB61="Moderado"),1,0))</f>
        <v>0</v>
      </c>
      <c r="BD65" s="407">
        <f>+IF(AND(W65="Detectivo/Correctivo",$BB61="Fuerte"),2,IF(AND(W65="Detectivo/Correctivo",$BB65="Moderado"),1,IF(AND(W65="Preventivo",$BB61="Fuerte"),1,0)))</f>
        <v>0</v>
      </c>
      <c r="BE65" s="407" t="e">
        <f>+N61-BC65</f>
        <v>#N/A</v>
      </c>
      <c r="BF65" s="407" t="e">
        <f>+P61-BD65</f>
        <v>#N/A</v>
      </c>
      <c r="BG65" s="565"/>
      <c r="BH65" s="565"/>
      <c r="BI65" s="565"/>
      <c r="BJ65" s="573"/>
      <c r="BK65" s="573"/>
      <c r="BL65" s="573"/>
      <c r="BM65" s="939"/>
    </row>
    <row r="66" spans="1:65" ht="65.099999999999994" customHeight="1">
      <c r="A66" s="953"/>
      <c r="B66" s="949"/>
      <c r="C66" s="686"/>
      <c r="D66" s="401"/>
      <c r="E66" s="401"/>
      <c r="F66" s="948"/>
      <c r="G66" s="947"/>
      <c r="H66" s="375"/>
      <c r="I66" s="375"/>
      <c r="J66" s="375"/>
      <c r="K66" s="402"/>
      <c r="L66" s="403"/>
      <c r="M66" s="689"/>
      <c r="N66" s="943"/>
      <c r="O66" s="945"/>
      <c r="P66" s="943"/>
      <c r="Q66" s="565"/>
      <c r="R66" s="565"/>
      <c r="S66" s="332"/>
      <c r="T66" s="332"/>
      <c r="U66" s="347" t="s">
        <v>1179</v>
      </c>
      <c r="V66" s="408"/>
      <c r="W66" s="408"/>
      <c r="X66" s="408"/>
      <c r="Y66" s="332" t="str">
        <f t="shared" si="3"/>
        <v/>
      </c>
      <c r="Z66" s="408"/>
      <c r="AA66" s="332" t="str">
        <f t="shared" si="4"/>
        <v/>
      </c>
      <c r="AB66" s="332"/>
      <c r="AC66" s="332" t="str">
        <f t="shared" si="5"/>
        <v/>
      </c>
      <c r="AD66" s="332"/>
      <c r="AE66" s="332" t="str">
        <f t="shared" si="6"/>
        <v/>
      </c>
      <c r="AF66" s="332"/>
      <c r="AG66" s="332" t="str">
        <f t="shared" si="7"/>
        <v/>
      </c>
      <c r="AH66" s="332"/>
      <c r="AI66" s="332" t="str">
        <f t="shared" si="8"/>
        <v/>
      </c>
      <c r="AJ66" s="332"/>
      <c r="AK66" s="333" t="str">
        <f t="shared" si="0"/>
        <v/>
      </c>
      <c r="AL66" s="404" t="str">
        <f t="shared" si="11"/>
        <v/>
      </c>
      <c r="AM66" s="404" t="str">
        <f t="shared" si="9"/>
        <v/>
      </c>
      <c r="AN66" s="405"/>
      <c r="AO66" s="405"/>
      <c r="AP66" s="405"/>
      <c r="AQ66" s="405"/>
      <c r="AR66" s="405"/>
      <c r="AS66" s="405"/>
      <c r="AT66" s="405"/>
      <c r="AU66" s="400" t="str">
        <f>IFERROR(VLOOKUP(AT66,'Seguridad Información'!$I$61:$J$65,2,0),"")</f>
        <v/>
      </c>
      <c r="AV66" s="400"/>
      <c r="AW66" s="406" t="str">
        <f t="shared" si="1"/>
        <v/>
      </c>
      <c r="AX66" s="404" t="str">
        <f t="shared" si="2"/>
        <v/>
      </c>
      <c r="AY66" s="406" t="str">
        <f>IFERROR(VLOOKUP((CONCATENATE(AM66,AX66)),Listados!$U$3:$V$11,2,FALSE),"")</f>
        <v/>
      </c>
      <c r="AZ66" s="404">
        <f t="shared" si="10"/>
        <v>100</v>
      </c>
      <c r="BA66" s="942"/>
      <c r="BB66" s="942"/>
      <c r="BC66" s="407">
        <f>+IF(AND(W66="Preventivo",BB61="Fuerte"),2,IF(AND(W66="Preventivo",BB61="Moderado"),1,0))</f>
        <v>0</v>
      </c>
      <c r="BD66" s="407">
        <f>+IF(AND(W66="Detectivo/Correctivo",$BB61="Fuerte"),2,IF(AND(W66="Detectivo/Correctivo",$BB66="Moderado"),1,IF(AND(W66="Preventivo",$BB61="Fuerte"),1,0)))</f>
        <v>0</v>
      </c>
      <c r="BE66" s="407" t="e">
        <f>+N61-BC66</f>
        <v>#N/A</v>
      </c>
      <c r="BF66" s="407" t="e">
        <f>+P61-BD66</f>
        <v>#N/A</v>
      </c>
      <c r="BG66" s="565"/>
      <c r="BH66" s="565"/>
      <c r="BI66" s="565"/>
      <c r="BJ66" s="573"/>
      <c r="BK66" s="573"/>
      <c r="BL66" s="573"/>
      <c r="BM66" s="939"/>
    </row>
    <row r="67" spans="1:65" ht="65.099999999999994" customHeight="1">
      <c r="A67" s="953">
        <v>11</v>
      </c>
      <c r="B67" s="949"/>
      <c r="C67" s="686" t="str">
        <f>IFERROR(VLOOKUP(B67,Listados!B$3:C$20,2,FALSE),"")</f>
        <v/>
      </c>
      <c r="D67" s="401"/>
      <c r="E67" s="401"/>
      <c r="F67" s="948"/>
      <c r="G67" s="947"/>
      <c r="H67" s="375"/>
      <c r="I67" s="375"/>
      <c r="J67" s="375"/>
      <c r="K67" s="402"/>
      <c r="L67" s="403"/>
      <c r="M67" s="689"/>
      <c r="N67" s="943" t="e">
        <f>+VLOOKUP(M67,Listados!$K$8:$L$12,2,0)</f>
        <v>#N/A</v>
      </c>
      <c r="O67" s="945"/>
      <c r="P67" s="943" t="e">
        <f>+VLOOKUP(O67,Listados!$K$13:$L$17,2,0)</f>
        <v>#N/A</v>
      </c>
      <c r="Q67" s="565" t="str">
        <f>IF(AND(M67&lt;&gt;"",O67&lt;&gt;""),VLOOKUP(M67&amp;O67,Listados!$M$3:$N$27,2,FALSE),"")</f>
        <v/>
      </c>
      <c r="R67" s="565" t="e">
        <f>+VLOOKUP(Q67,Listados!$P$3:$Q$6,2,FALSE)</f>
        <v>#N/A</v>
      </c>
      <c r="S67" s="332"/>
      <c r="T67" s="332"/>
      <c r="U67" s="347" t="s">
        <v>1179</v>
      </c>
      <c r="V67" s="408"/>
      <c r="W67" s="408"/>
      <c r="X67" s="408"/>
      <c r="Y67" s="332" t="str">
        <f t="shared" si="3"/>
        <v/>
      </c>
      <c r="Z67" s="408"/>
      <c r="AA67" s="332" t="str">
        <f t="shared" si="4"/>
        <v/>
      </c>
      <c r="AB67" s="332"/>
      <c r="AC67" s="332" t="str">
        <f t="shared" si="5"/>
        <v/>
      </c>
      <c r="AD67" s="332"/>
      <c r="AE67" s="332" t="str">
        <f t="shared" si="6"/>
        <v/>
      </c>
      <c r="AF67" s="332"/>
      <c r="AG67" s="332" t="str">
        <f t="shared" si="7"/>
        <v/>
      </c>
      <c r="AH67" s="332"/>
      <c r="AI67" s="332" t="str">
        <f t="shared" si="8"/>
        <v/>
      </c>
      <c r="AJ67" s="332"/>
      <c r="AK67" s="333" t="str">
        <f t="shared" si="0"/>
        <v/>
      </c>
      <c r="AL67" s="404" t="str">
        <f t="shared" si="11"/>
        <v/>
      </c>
      <c r="AM67" s="404" t="str">
        <f t="shared" si="9"/>
        <v/>
      </c>
      <c r="AN67" s="405"/>
      <c r="AO67" s="405"/>
      <c r="AP67" s="405"/>
      <c r="AQ67" s="405"/>
      <c r="AR67" s="405"/>
      <c r="AS67" s="405"/>
      <c r="AT67" s="405"/>
      <c r="AU67" s="400" t="str">
        <f>IFERROR(VLOOKUP(AT67,'Seguridad Información'!$I$61:$J$65,2,0),"")</f>
        <v/>
      </c>
      <c r="AV67" s="400"/>
      <c r="AW67" s="406" t="str">
        <f t="shared" si="1"/>
        <v/>
      </c>
      <c r="AX67" s="404" t="str">
        <f t="shared" si="2"/>
        <v/>
      </c>
      <c r="AY67" s="406" t="str">
        <f>IFERROR(VLOOKUP((CONCATENATE(AM67,AX67)),Listados!$U$3:$V$11,2,FALSE),"")</f>
        <v/>
      </c>
      <c r="AZ67" s="404">
        <f t="shared" si="10"/>
        <v>100</v>
      </c>
      <c r="BA67" s="942">
        <f>AVERAGE(AZ67:AZ72)</f>
        <v>100</v>
      </c>
      <c r="BB67" s="942" t="str">
        <f>IF(BA67&lt;=50, "Débil", IF(BA67&lt;=99,"Moderado","Fuerte"))</f>
        <v>Fuerte</v>
      </c>
      <c r="BC67" s="407">
        <f>+IF(AND(W67="Preventivo",BB67="Fuerte"),2,IF(AND(W67="Preventivo",BB67="Moderado"),1,0))</f>
        <v>0</v>
      </c>
      <c r="BD67" s="407">
        <f>+IF(AND(W67="Detectivo/Correctivo",$BB67="Fuerte"),2,IF(AND(W67="Detectivo/Correctivo",$BB67="Moderado"),1,IF(AND(W67="Preventivo",$BB67="Fuerte"),1,0)))</f>
        <v>0</v>
      </c>
      <c r="BE67" s="407" t="e">
        <f>+N67-BC67</f>
        <v>#N/A</v>
      </c>
      <c r="BF67" s="407" t="e">
        <f>+P67-BD67</f>
        <v>#N/A</v>
      </c>
      <c r="BG67" s="565" t="e">
        <f>+VLOOKUP(MIN(BE67,BE68,BE69,BE70,BE71,BE72),Listados!$J$18:$K$24,2,TRUE)</f>
        <v>#N/A</v>
      </c>
      <c r="BH67" s="565" t="e">
        <f>+VLOOKUP(MIN(BF67,BF68,BF69,BF70,BF71,BF72),Listados!$J$27:$K$32,2,TRUE)</f>
        <v>#N/A</v>
      </c>
      <c r="BI67" s="565" t="e">
        <f>IF(AND(BG67&lt;&gt;"",BH67&lt;&gt;""),VLOOKUP(BG67&amp;BH67,Listados!$M$3:$N$27,2,FALSE),"")</f>
        <v>#N/A</v>
      </c>
      <c r="BJ67" s="573" t="e">
        <f>+IF($R67="Asumir el riesgo","NA","")</f>
        <v>#N/A</v>
      </c>
      <c r="BK67" s="573" t="e">
        <f>+IF($R67="Asumir el riesgo","NA","")</f>
        <v>#N/A</v>
      </c>
      <c r="BL67" s="573" t="e">
        <f>+IF($R67="Asumir el riesgo","NA","")</f>
        <v>#N/A</v>
      </c>
      <c r="BM67" s="939" t="e">
        <f>+IF($R67="Asumir el riesgo","NA","")</f>
        <v>#N/A</v>
      </c>
    </row>
    <row r="68" spans="1:65" ht="65.099999999999994" customHeight="1">
      <c r="A68" s="953"/>
      <c r="B68" s="949"/>
      <c r="C68" s="686"/>
      <c r="D68" s="401"/>
      <c r="E68" s="401"/>
      <c r="F68" s="948"/>
      <c r="G68" s="947"/>
      <c r="H68" s="375"/>
      <c r="I68" s="375"/>
      <c r="J68" s="375"/>
      <c r="K68" s="402"/>
      <c r="L68" s="403"/>
      <c r="M68" s="689"/>
      <c r="N68" s="943"/>
      <c r="O68" s="945"/>
      <c r="P68" s="943"/>
      <c r="Q68" s="565"/>
      <c r="R68" s="565"/>
      <c r="S68" s="332"/>
      <c r="T68" s="332"/>
      <c r="U68" s="347" t="s">
        <v>1179</v>
      </c>
      <c r="V68" s="408"/>
      <c r="W68" s="408"/>
      <c r="X68" s="408"/>
      <c r="Y68" s="332" t="str">
        <f t="shared" si="3"/>
        <v/>
      </c>
      <c r="Z68" s="408"/>
      <c r="AA68" s="332" t="str">
        <f t="shared" si="4"/>
        <v/>
      </c>
      <c r="AB68" s="332"/>
      <c r="AC68" s="332" t="str">
        <f t="shared" si="5"/>
        <v/>
      </c>
      <c r="AD68" s="332"/>
      <c r="AE68" s="332" t="str">
        <f t="shared" si="6"/>
        <v/>
      </c>
      <c r="AF68" s="332"/>
      <c r="AG68" s="332" t="str">
        <f t="shared" si="7"/>
        <v/>
      </c>
      <c r="AH68" s="332"/>
      <c r="AI68" s="332" t="str">
        <f t="shared" si="8"/>
        <v/>
      </c>
      <c r="AJ68" s="332"/>
      <c r="AK68" s="333" t="str">
        <f t="shared" si="0"/>
        <v/>
      </c>
      <c r="AL68" s="404" t="str">
        <f t="shared" si="11"/>
        <v/>
      </c>
      <c r="AM68" s="404" t="str">
        <f t="shared" si="9"/>
        <v/>
      </c>
      <c r="AN68" s="405"/>
      <c r="AO68" s="405"/>
      <c r="AP68" s="405"/>
      <c r="AQ68" s="405"/>
      <c r="AR68" s="405"/>
      <c r="AS68" s="405"/>
      <c r="AT68" s="405"/>
      <c r="AU68" s="400" t="str">
        <f>IFERROR(VLOOKUP(AT68,'Seguridad Información'!$I$61:$J$65,2,0),"")</f>
        <v/>
      </c>
      <c r="AV68" s="400"/>
      <c r="AW68" s="406" t="str">
        <f t="shared" si="1"/>
        <v/>
      </c>
      <c r="AX68" s="404" t="str">
        <f t="shared" si="2"/>
        <v/>
      </c>
      <c r="AY68" s="406" t="str">
        <f>IFERROR(VLOOKUP((CONCATENATE(AM68,AX68)),Listados!$U$3:$V$11,2,FALSE),"")</f>
        <v/>
      </c>
      <c r="AZ68" s="404">
        <f t="shared" si="10"/>
        <v>100</v>
      </c>
      <c r="BA68" s="942"/>
      <c r="BB68" s="942"/>
      <c r="BC68" s="407">
        <f>+IF(AND(W68="Preventivo",BB67="Fuerte"),2,IF(AND(W68="Preventivo",BB67="Moderado"),1,0))</f>
        <v>0</v>
      </c>
      <c r="BD68" s="407">
        <f>+IF(AND(W68="Detectivo/Correctivo",$BB67="Fuerte"),2,IF(AND(W68="Detectivo/Correctivo",$BB68="Moderado"),1,IF(AND(W68="Preventivo",$BB67="Fuerte"),1,0)))</f>
        <v>0</v>
      </c>
      <c r="BE68" s="407" t="e">
        <f>+N67-BC68</f>
        <v>#N/A</v>
      </c>
      <c r="BF68" s="407" t="e">
        <f>+P67-BD68</f>
        <v>#N/A</v>
      </c>
      <c r="BG68" s="565"/>
      <c r="BH68" s="565"/>
      <c r="BI68" s="565"/>
      <c r="BJ68" s="573"/>
      <c r="BK68" s="573"/>
      <c r="BL68" s="573"/>
      <c r="BM68" s="939"/>
    </row>
    <row r="69" spans="1:65" ht="65.099999999999994" customHeight="1">
      <c r="A69" s="953"/>
      <c r="B69" s="949"/>
      <c r="C69" s="686"/>
      <c r="D69" s="401"/>
      <c r="E69" s="401"/>
      <c r="F69" s="948"/>
      <c r="G69" s="947"/>
      <c r="H69" s="375"/>
      <c r="I69" s="375"/>
      <c r="J69" s="375"/>
      <c r="K69" s="402"/>
      <c r="L69" s="403"/>
      <c r="M69" s="689"/>
      <c r="N69" s="943"/>
      <c r="O69" s="945"/>
      <c r="P69" s="943"/>
      <c r="Q69" s="565"/>
      <c r="R69" s="565"/>
      <c r="S69" s="332"/>
      <c r="T69" s="332"/>
      <c r="U69" s="347" t="s">
        <v>1179</v>
      </c>
      <c r="V69" s="408"/>
      <c r="W69" s="408"/>
      <c r="X69" s="408"/>
      <c r="Y69" s="332" t="str">
        <f t="shared" si="3"/>
        <v/>
      </c>
      <c r="Z69" s="408"/>
      <c r="AA69" s="332" t="str">
        <f t="shared" si="4"/>
        <v/>
      </c>
      <c r="AB69" s="332"/>
      <c r="AC69" s="332" t="str">
        <f t="shared" si="5"/>
        <v/>
      </c>
      <c r="AD69" s="332"/>
      <c r="AE69" s="332" t="str">
        <f t="shared" si="6"/>
        <v/>
      </c>
      <c r="AF69" s="332"/>
      <c r="AG69" s="332" t="str">
        <f t="shared" si="7"/>
        <v/>
      </c>
      <c r="AH69" s="332"/>
      <c r="AI69" s="332" t="str">
        <f t="shared" si="8"/>
        <v/>
      </c>
      <c r="AJ69" s="332"/>
      <c r="AK69" s="333" t="str">
        <f t="shared" si="0"/>
        <v/>
      </c>
      <c r="AL69" s="404" t="str">
        <f t="shared" si="11"/>
        <v/>
      </c>
      <c r="AM69" s="404" t="str">
        <f t="shared" si="9"/>
        <v/>
      </c>
      <c r="AN69" s="405"/>
      <c r="AO69" s="405"/>
      <c r="AP69" s="405"/>
      <c r="AQ69" s="405"/>
      <c r="AR69" s="405"/>
      <c r="AS69" s="405"/>
      <c r="AT69" s="405"/>
      <c r="AU69" s="400" t="str">
        <f>IFERROR(VLOOKUP(AT69,'Seguridad Información'!$I$61:$J$65,2,0),"")</f>
        <v/>
      </c>
      <c r="AV69" s="400"/>
      <c r="AW69" s="406" t="str">
        <f t="shared" si="1"/>
        <v/>
      </c>
      <c r="AX69" s="404" t="str">
        <f t="shared" si="2"/>
        <v/>
      </c>
      <c r="AY69" s="406" t="str">
        <f>IFERROR(VLOOKUP((CONCATENATE(AM69,AX69)),Listados!$U$3:$V$11,2,FALSE),"")</f>
        <v/>
      </c>
      <c r="AZ69" s="404">
        <f t="shared" si="10"/>
        <v>100</v>
      </c>
      <c r="BA69" s="942"/>
      <c r="BB69" s="942"/>
      <c r="BC69" s="407">
        <f>+IF(AND(W69="Preventivo",BB67="Fuerte"),2,IF(AND(W69="Preventivo",BB67="Moderado"),1,0))</f>
        <v>0</v>
      </c>
      <c r="BD69" s="407">
        <f>+IF(AND(W69="Detectivo/Correctivo",$BB67="Fuerte"),2,IF(AND(W69="Detectivo/Correctivo",$BB69="Moderado"),1,IF(AND(W69="Preventivo",$BB67="Fuerte"),1,0)))</f>
        <v>0</v>
      </c>
      <c r="BE69" s="407" t="e">
        <f>+N67-BC69</f>
        <v>#N/A</v>
      </c>
      <c r="BF69" s="407" t="e">
        <f>+P67-BD69</f>
        <v>#N/A</v>
      </c>
      <c r="BG69" s="565"/>
      <c r="BH69" s="565"/>
      <c r="BI69" s="565"/>
      <c r="BJ69" s="573"/>
      <c r="BK69" s="573"/>
      <c r="BL69" s="573"/>
      <c r="BM69" s="939"/>
    </row>
    <row r="70" spans="1:65" ht="65.099999999999994" customHeight="1">
      <c r="A70" s="953"/>
      <c r="B70" s="949"/>
      <c r="C70" s="686"/>
      <c r="D70" s="401"/>
      <c r="E70" s="401"/>
      <c r="F70" s="948"/>
      <c r="G70" s="947"/>
      <c r="H70" s="375"/>
      <c r="I70" s="375"/>
      <c r="J70" s="375"/>
      <c r="K70" s="402"/>
      <c r="L70" s="403"/>
      <c r="M70" s="689"/>
      <c r="N70" s="943"/>
      <c r="O70" s="945"/>
      <c r="P70" s="943"/>
      <c r="Q70" s="565"/>
      <c r="R70" s="565"/>
      <c r="S70" s="332"/>
      <c r="T70" s="332"/>
      <c r="U70" s="347" t="s">
        <v>1179</v>
      </c>
      <c r="V70" s="408"/>
      <c r="W70" s="408"/>
      <c r="X70" s="408"/>
      <c r="Y70" s="332" t="str">
        <f t="shared" si="3"/>
        <v/>
      </c>
      <c r="Z70" s="408"/>
      <c r="AA70" s="332" t="str">
        <f t="shared" si="4"/>
        <v/>
      </c>
      <c r="AB70" s="332"/>
      <c r="AC70" s="332" t="str">
        <f t="shared" si="5"/>
        <v/>
      </c>
      <c r="AD70" s="332"/>
      <c r="AE70" s="332" t="str">
        <f t="shared" si="6"/>
        <v/>
      </c>
      <c r="AF70" s="332"/>
      <c r="AG70" s="332" t="str">
        <f t="shared" si="7"/>
        <v/>
      </c>
      <c r="AH70" s="332"/>
      <c r="AI70" s="332" t="str">
        <f t="shared" si="8"/>
        <v/>
      </c>
      <c r="AJ70" s="332"/>
      <c r="AK70" s="333" t="str">
        <f t="shared" si="0"/>
        <v/>
      </c>
      <c r="AL70" s="404" t="str">
        <f t="shared" si="11"/>
        <v/>
      </c>
      <c r="AM70" s="404" t="str">
        <f t="shared" si="9"/>
        <v/>
      </c>
      <c r="AN70" s="405"/>
      <c r="AO70" s="405"/>
      <c r="AP70" s="405"/>
      <c r="AQ70" s="405"/>
      <c r="AR70" s="405"/>
      <c r="AS70" s="405"/>
      <c r="AT70" s="405"/>
      <c r="AU70" s="400" t="str">
        <f>IFERROR(VLOOKUP(AT70,'Seguridad Información'!$I$61:$J$65,2,0),"")</f>
        <v/>
      </c>
      <c r="AV70" s="400"/>
      <c r="AW70" s="406" t="str">
        <f t="shared" si="1"/>
        <v/>
      </c>
      <c r="AX70" s="404" t="str">
        <f t="shared" si="2"/>
        <v/>
      </c>
      <c r="AY70" s="406" t="str">
        <f>IFERROR(VLOOKUP((CONCATENATE(AM70,AX70)),Listados!$U$3:$V$11,2,FALSE),"")</f>
        <v/>
      </c>
      <c r="AZ70" s="404">
        <f t="shared" si="10"/>
        <v>100</v>
      </c>
      <c r="BA70" s="942"/>
      <c r="BB70" s="942"/>
      <c r="BC70" s="407">
        <f>+IF(AND(W70="Preventivo",BB67="Fuerte"),2,IF(AND(W70="Preventivo",BB67="Moderado"),1,0))</f>
        <v>0</v>
      </c>
      <c r="BD70" s="407">
        <f>+IF(AND(W70="Detectivo/Correctivo",$BB67="Fuerte"),2,IF(AND(W70="Detectivo/Correctivo",$BB70="Moderado"),1,IF(AND(W70="Preventivo",$BB67="Fuerte"),1,0)))</f>
        <v>0</v>
      </c>
      <c r="BE70" s="407" t="e">
        <f>+N67-BC70</f>
        <v>#N/A</v>
      </c>
      <c r="BF70" s="407" t="e">
        <f>+P67-BD70</f>
        <v>#N/A</v>
      </c>
      <c r="BG70" s="565"/>
      <c r="BH70" s="565"/>
      <c r="BI70" s="565"/>
      <c r="BJ70" s="573"/>
      <c r="BK70" s="573"/>
      <c r="BL70" s="573"/>
      <c r="BM70" s="939"/>
    </row>
    <row r="71" spans="1:65" ht="65.099999999999994" customHeight="1">
      <c r="A71" s="953"/>
      <c r="B71" s="949"/>
      <c r="C71" s="686"/>
      <c r="D71" s="401"/>
      <c r="E71" s="401"/>
      <c r="F71" s="948"/>
      <c r="G71" s="947"/>
      <c r="H71" s="375"/>
      <c r="I71" s="375"/>
      <c r="J71" s="375"/>
      <c r="K71" s="402"/>
      <c r="L71" s="403"/>
      <c r="M71" s="689"/>
      <c r="N71" s="943"/>
      <c r="O71" s="945"/>
      <c r="P71" s="943"/>
      <c r="Q71" s="565"/>
      <c r="R71" s="565"/>
      <c r="S71" s="332"/>
      <c r="T71" s="332"/>
      <c r="U71" s="347" t="s">
        <v>1179</v>
      </c>
      <c r="V71" s="408"/>
      <c r="W71" s="408"/>
      <c r="X71" s="408"/>
      <c r="Y71" s="332" t="str">
        <f t="shared" si="3"/>
        <v/>
      </c>
      <c r="Z71" s="408"/>
      <c r="AA71" s="332" t="str">
        <f t="shared" si="4"/>
        <v/>
      </c>
      <c r="AB71" s="332"/>
      <c r="AC71" s="332" t="str">
        <f t="shared" si="5"/>
        <v/>
      </c>
      <c r="AD71" s="332"/>
      <c r="AE71" s="332" t="str">
        <f t="shared" si="6"/>
        <v/>
      </c>
      <c r="AF71" s="332"/>
      <c r="AG71" s="332" t="str">
        <f t="shared" si="7"/>
        <v/>
      </c>
      <c r="AH71" s="332"/>
      <c r="AI71" s="332" t="str">
        <f t="shared" si="8"/>
        <v/>
      </c>
      <c r="AJ71" s="332"/>
      <c r="AK71" s="333" t="str">
        <f t="shared" si="0"/>
        <v/>
      </c>
      <c r="AL71" s="404" t="str">
        <f t="shared" si="11"/>
        <v/>
      </c>
      <c r="AM71" s="404" t="str">
        <f t="shared" si="9"/>
        <v/>
      </c>
      <c r="AN71" s="405"/>
      <c r="AO71" s="405"/>
      <c r="AP71" s="405"/>
      <c r="AQ71" s="405"/>
      <c r="AR71" s="405"/>
      <c r="AS71" s="405"/>
      <c r="AT71" s="405"/>
      <c r="AU71" s="400" t="str">
        <f>IFERROR(VLOOKUP(AT71,'Seguridad Información'!$I$61:$J$65,2,0),"")</f>
        <v/>
      </c>
      <c r="AV71" s="400"/>
      <c r="AW71" s="406" t="str">
        <f t="shared" ref="AW71:AW126" si="12">IFERROR(AVERAGE(AO71,AQ71,AS71,AU71),"")</f>
        <v/>
      </c>
      <c r="AX71" s="404" t="str">
        <f t="shared" si="2"/>
        <v/>
      </c>
      <c r="AY71" s="406" t="str">
        <f>IFERROR(VLOOKUP((CONCATENATE(AM71,AX71)),Listados!$U$3:$V$11,2,FALSE),"")</f>
        <v/>
      </c>
      <c r="AZ71" s="404">
        <f t="shared" si="10"/>
        <v>100</v>
      </c>
      <c r="BA71" s="942"/>
      <c r="BB71" s="942"/>
      <c r="BC71" s="407">
        <f>+IF(AND(W71="Preventivo",BB67="Fuerte"),2,IF(AND(W71="Preventivo",BB67="Moderado"),1,0))</f>
        <v>0</v>
      </c>
      <c r="BD71" s="407">
        <f>+IF(AND(W71="Detectivo/Correctivo",$BB67="Fuerte"),2,IF(AND(W71="Detectivo/Correctivo",$BB71="Moderado"),1,IF(AND(W71="Preventivo",$BB67="Fuerte"),1,0)))</f>
        <v>0</v>
      </c>
      <c r="BE71" s="407" t="e">
        <f>+N67-BC71</f>
        <v>#N/A</v>
      </c>
      <c r="BF71" s="407" t="e">
        <f>+P67-BD71</f>
        <v>#N/A</v>
      </c>
      <c r="BG71" s="565"/>
      <c r="BH71" s="565"/>
      <c r="BI71" s="565"/>
      <c r="BJ71" s="573"/>
      <c r="BK71" s="573"/>
      <c r="BL71" s="573"/>
      <c r="BM71" s="939"/>
    </row>
    <row r="72" spans="1:65" ht="65.099999999999994" customHeight="1">
      <c r="A72" s="953"/>
      <c r="B72" s="949"/>
      <c r="C72" s="686"/>
      <c r="D72" s="401"/>
      <c r="E72" s="401"/>
      <c r="F72" s="948"/>
      <c r="G72" s="947"/>
      <c r="H72" s="375"/>
      <c r="I72" s="375"/>
      <c r="J72" s="375"/>
      <c r="K72" s="402"/>
      <c r="L72" s="403"/>
      <c r="M72" s="689"/>
      <c r="N72" s="943"/>
      <c r="O72" s="945"/>
      <c r="P72" s="943"/>
      <c r="Q72" s="565"/>
      <c r="R72" s="565"/>
      <c r="S72" s="332"/>
      <c r="T72" s="332"/>
      <c r="U72" s="347" t="s">
        <v>1179</v>
      </c>
      <c r="V72" s="408"/>
      <c r="W72" s="408"/>
      <c r="X72" s="408"/>
      <c r="Y72" s="332" t="str">
        <f t="shared" ref="Y72:Y126" si="13">+IF(X72="si",15,"")</f>
        <v/>
      </c>
      <c r="Z72" s="408"/>
      <c r="AA72" s="332" t="str">
        <f t="shared" ref="AA72:AA126" si="14">+IF(Z72="si",15,"")</f>
        <v/>
      </c>
      <c r="AB72" s="332"/>
      <c r="AC72" s="332" t="str">
        <f t="shared" ref="AC72:AC126" si="15">+IF(AB72="si",15,"")</f>
        <v/>
      </c>
      <c r="AD72" s="332"/>
      <c r="AE72" s="332" t="str">
        <f t="shared" ref="AE72:AE126" si="16">+IF(AD72="si",15,"")</f>
        <v/>
      </c>
      <c r="AF72" s="332"/>
      <c r="AG72" s="332" t="str">
        <f t="shared" ref="AG72:AG126" si="17">+IF(AF72="si",15,"")</f>
        <v/>
      </c>
      <c r="AH72" s="332"/>
      <c r="AI72" s="332" t="str">
        <f t="shared" ref="AI72:AI126" si="18">+IF(AH72="si",15,"")</f>
        <v/>
      </c>
      <c r="AJ72" s="332"/>
      <c r="AK72" s="333" t="str">
        <f t="shared" ref="AK72:AK126" si="19">+IF(AJ72="Completa",10,IF(AJ72="Incompleta",5,""))</f>
        <v/>
      </c>
      <c r="AL72" s="404" t="str">
        <f t="shared" ref="AL72:AL126" si="20">IF((SUM(Y72,AA72,AC72,AE72,AG72,AI72,AK72)=0),"",(SUM(Y72,AA72,AC72,AE72,AG72,AI72,AK72)))</f>
        <v/>
      </c>
      <c r="AM72" s="404" t="str">
        <f t="shared" ref="AM72:AM126" si="21">IF(AL72&lt;=85,"Débil",IF(AL72&lt;=95,"Moderado",IF(AL72=100,"Fuerte","")))</f>
        <v/>
      </c>
      <c r="AN72" s="405"/>
      <c r="AO72" s="405"/>
      <c r="AP72" s="405"/>
      <c r="AQ72" s="405"/>
      <c r="AR72" s="405"/>
      <c r="AS72" s="405"/>
      <c r="AT72" s="405"/>
      <c r="AU72" s="400" t="str">
        <f>IFERROR(VLOOKUP(AT72,'Seguridad Información'!$I$61:$J$65,2,0),"")</f>
        <v/>
      </c>
      <c r="AV72" s="400"/>
      <c r="AW72" s="406" t="str">
        <f t="shared" si="12"/>
        <v/>
      </c>
      <c r="AX72" s="404" t="str">
        <f t="shared" ref="AX72:AX126" si="22">IF(AW72&lt;=80,"Débil",IF(AW72&lt;=90,"Moderado",IF(AW72=100,"Fuerte","")))</f>
        <v/>
      </c>
      <c r="AY72" s="406" t="str">
        <f>IFERROR(VLOOKUP((CONCATENATE(AM72,AX72)),Listados!$U$3:$V$11,2,FALSE),"")</f>
        <v/>
      </c>
      <c r="AZ72" s="404">
        <f t="shared" si="10"/>
        <v>100</v>
      </c>
      <c r="BA72" s="942"/>
      <c r="BB72" s="942"/>
      <c r="BC72" s="407">
        <f>+IF(AND(W72="Preventivo",BB67="Fuerte"),2,IF(AND(W72="Preventivo",BB67="Moderado"),1,0))</f>
        <v>0</v>
      </c>
      <c r="BD72" s="407">
        <f>+IF(AND(W72="Detectivo/Correctivo",$BB67="Fuerte"),2,IF(AND(W72="Detectivo/Correctivo",$BB72="Moderado"),1,IF(AND(W72="Preventivo",$BB67="Fuerte"),1,0)))</f>
        <v>0</v>
      </c>
      <c r="BE72" s="407" t="e">
        <f>+N67-BC72</f>
        <v>#N/A</v>
      </c>
      <c r="BF72" s="407" t="e">
        <f>+P67-BD72</f>
        <v>#N/A</v>
      </c>
      <c r="BG72" s="565"/>
      <c r="BH72" s="565"/>
      <c r="BI72" s="565"/>
      <c r="BJ72" s="573"/>
      <c r="BK72" s="573"/>
      <c r="BL72" s="573"/>
      <c r="BM72" s="939"/>
    </row>
    <row r="73" spans="1:65" ht="65.099999999999994" customHeight="1">
      <c r="A73" s="953">
        <v>12</v>
      </c>
      <c r="B73" s="949"/>
      <c r="C73" s="686" t="str">
        <f>IFERROR(VLOOKUP(B73,Listados!B$3:C$20,2,FALSE),"")</f>
        <v/>
      </c>
      <c r="D73" s="401"/>
      <c r="E73" s="401"/>
      <c r="F73" s="948"/>
      <c r="G73" s="947"/>
      <c r="H73" s="375"/>
      <c r="I73" s="375"/>
      <c r="J73" s="375"/>
      <c r="K73" s="402"/>
      <c r="L73" s="403"/>
      <c r="M73" s="689"/>
      <c r="N73" s="943" t="e">
        <f>+VLOOKUP(M73,Listados!$K$8:$L$12,2,0)</f>
        <v>#N/A</v>
      </c>
      <c r="O73" s="945"/>
      <c r="P73" s="943" t="e">
        <f>+VLOOKUP(O73,Listados!$K$13:$L$17,2,0)</f>
        <v>#N/A</v>
      </c>
      <c r="Q73" s="565" t="str">
        <f>IF(AND(M73&lt;&gt;"",O73&lt;&gt;""),VLOOKUP(M73&amp;O73,Listados!$M$3:$N$27,2,FALSE),"")</f>
        <v/>
      </c>
      <c r="R73" s="565" t="e">
        <f>+VLOOKUP(Q73,Listados!$P$3:$Q$6,2,FALSE)</f>
        <v>#N/A</v>
      </c>
      <c r="S73" s="332"/>
      <c r="T73" s="332"/>
      <c r="U73" s="347" t="s">
        <v>1179</v>
      </c>
      <c r="V73" s="408"/>
      <c r="W73" s="408"/>
      <c r="X73" s="408"/>
      <c r="Y73" s="332" t="str">
        <f t="shared" si="13"/>
        <v/>
      </c>
      <c r="Z73" s="408"/>
      <c r="AA73" s="332" t="str">
        <f t="shared" si="14"/>
        <v/>
      </c>
      <c r="AB73" s="332"/>
      <c r="AC73" s="332" t="str">
        <f t="shared" si="15"/>
        <v/>
      </c>
      <c r="AD73" s="332"/>
      <c r="AE73" s="332" t="str">
        <f t="shared" si="16"/>
        <v/>
      </c>
      <c r="AF73" s="332"/>
      <c r="AG73" s="332" t="str">
        <f t="shared" si="17"/>
        <v/>
      </c>
      <c r="AH73" s="332"/>
      <c r="AI73" s="332" t="str">
        <f t="shared" si="18"/>
        <v/>
      </c>
      <c r="AJ73" s="332"/>
      <c r="AK73" s="333" t="str">
        <f t="shared" si="19"/>
        <v/>
      </c>
      <c r="AL73" s="404" t="str">
        <f t="shared" si="20"/>
        <v/>
      </c>
      <c r="AM73" s="404" t="str">
        <f t="shared" si="21"/>
        <v/>
      </c>
      <c r="AN73" s="405"/>
      <c r="AO73" s="405"/>
      <c r="AP73" s="405"/>
      <c r="AQ73" s="405"/>
      <c r="AR73" s="405"/>
      <c r="AS73" s="405"/>
      <c r="AT73" s="405"/>
      <c r="AU73" s="400" t="str">
        <f>IFERROR(VLOOKUP(AT73,'Seguridad Información'!$I$61:$J$65,2,0),"")</f>
        <v/>
      </c>
      <c r="AV73" s="400"/>
      <c r="AW73" s="406" t="str">
        <f t="shared" si="12"/>
        <v/>
      </c>
      <c r="AX73" s="404" t="str">
        <f t="shared" si="22"/>
        <v/>
      </c>
      <c r="AY73" s="406" t="str">
        <f>IFERROR(VLOOKUP((CONCATENATE(AM73,AX73)),Listados!$U$3:$V$11,2,FALSE),"")</f>
        <v/>
      </c>
      <c r="AZ73" s="404">
        <f t="shared" ref="AZ73:AZ126" si="23">IF(ISBLANK(AY73),"",IF(AY73="Débil", 0, IF(AY73="Moderado",50,100)))</f>
        <v>100</v>
      </c>
      <c r="BA73" s="942">
        <f>AVERAGE(AZ73:AZ78)</f>
        <v>100</v>
      </c>
      <c r="BB73" s="942" t="str">
        <f>IF(BA73&lt;=50, "Débil", IF(BA73&lt;=99,"Moderado","Fuerte"))</f>
        <v>Fuerte</v>
      </c>
      <c r="BC73" s="407">
        <f>+IF(AND(W73="Preventivo",BB73="Fuerte"),2,IF(AND(W73="Preventivo",BB73="Moderado"),1,0))</f>
        <v>0</v>
      </c>
      <c r="BD73" s="407">
        <f>+IF(AND(W73="Detectivo/Correctivo",$BB73="Fuerte"),2,IF(AND(W73="Detectivo/Correctivo",$BB73="Moderado"),1,IF(AND(W73="Preventivo",$BB73="Fuerte"),1,0)))</f>
        <v>0</v>
      </c>
      <c r="BE73" s="407" t="e">
        <f>+N73-BC73</f>
        <v>#N/A</v>
      </c>
      <c r="BF73" s="407" t="e">
        <f>+P73-BD73</f>
        <v>#N/A</v>
      </c>
      <c r="BG73" s="565" t="e">
        <f>+VLOOKUP(MIN(BE73,BE74,BE75,BE76,BE77,BE78),Listados!$J$18:$K$24,2,TRUE)</f>
        <v>#N/A</v>
      </c>
      <c r="BH73" s="565" t="e">
        <f>+VLOOKUP(MIN(BF73,BF74,BF75,BF76,BF77,BF78),Listados!$J$27:$K$32,2,TRUE)</f>
        <v>#N/A</v>
      </c>
      <c r="BI73" s="565" t="e">
        <f>IF(AND(BG73&lt;&gt;"",BH73&lt;&gt;""),VLOOKUP(BG73&amp;BH73,Listados!$M$3:$N$27,2,FALSE),"")</f>
        <v>#N/A</v>
      </c>
      <c r="BJ73" s="573" t="e">
        <f>+IF($R73="Asumir el riesgo","NA","")</f>
        <v>#N/A</v>
      </c>
      <c r="BK73" s="573" t="e">
        <f>+IF($R73="Asumir el riesgo","NA","")</f>
        <v>#N/A</v>
      </c>
      <c r="BL73" s="573" t="e">
        <f>+IF($R73="Asumir el riesgo","NA","")</f>
        <v>#N/A</v>
      </c>
      <c r="BM73" s="939" t="e">
        <f>+IF($R73="Asumir el riesgo","NA","")</f>
        <v>#N/A</v>
      </c>
    </row>
    <row r="74" spans="1:65" ht="65.099999999999994" customHeight="1">
      <c r="A74" s="953"/>
      <c r="B74" s="949"/>
      <c r="C74" s="686"/>
      <c r="D74" s="401"/>
      <c r="E74" s="401"/>
      <c r="F74" s="948"/>
      <c r="G74" s="947"/>
      <c r="H74" s="375"/>
      <c r="I74" s="375"/>
      <c r="J74" s="375"/>
      <c r="K74" s="402"/>
      <c r="L74" s="403"/>
      <c r="M74" s="689"/>
      <c r="N74" s="943"/>
      <c r="O74" s="945"/>
      <c r="P74" s="943"/>
      <c r="Q74" s="565"/>
      <c r="R74" s="565"/>
      <c r="S74" s="332"/>
      <c r="T74" s="332"/>
      <c r="U74" s="347" t="s">
        <v>1179</v>
      </c>
      <c r="V74" s="408"/>
      <c r="W74" s="408"/>
      <c r="X74" s="408"/>
      <c r="Y74" s="332" t="str">
        <f t="shared" si="13"/>
        <v/>
      </c>
      <c r="Z74" s="408"/>
      <c r="AA74" s="332" t="str">
        <f t="shared" si="14"/>
        <v/>
      </c>
      <c r="AB74" s="332"/>
      <c r="AC74" s="332" t="str">
        <f t="shared" si="15"/>
        <v/>
      </c>
      <c r="AD74" s="332"/>
      <c r="AE74" s="332" t="str">
        <f t="shared" si="16"/>
        <v/>
      </c>
      <c r="AF74" s="332"/>
      <c r="AG74" s="332" t="str">
        <f t="shared" si="17"/>
        <v/>
      </c>
      <c r="AH74" s="332"/>
      <c r="AI74" s="332" t="str">
        <f t="shared" si="18"/>
        <v/>
      </c>
      <c r="AJ74" s="332"/>
      <c r="AK74" s="333" t="str">
        <f t="shared" si="19"/>
        <v/>
      </c>
      <c r="AL74" s="404" t="str">
        <f t="shared" si="20"/>
        <v/>
      </c>
      <c r="AM74" s="404" t="str">
        <f t="shared" si="21"/>
        <v/>
      </c>
      <c r="AN74" s="405"/>
      <c r="AO74" s="405"/>
      <c r="AP74" s="405"/>
      <c r="AQ74" s="405"/>
      <c r="AR74" s="405"/>
      <c r="AS74" s="405"/>
      <c r="AT74" s="405"/>
      <c r="AU74" s="400" t="str">
        <f>IFERROR(VLOOKUP(AT74,'Seguridad Información'!$I$61:$J$65,2,0),"")</f>
        <v/>
      </c>
      <c r="AV74" s="400"/>
      <c r="AW74" s="406" t="str">
        <f t="shared" si="12"/>
        <v/>
      </c>
      <c r="AX74" s="404" t="str">
        <f t="shared" si="22"/>
        <v/>
      </c>
      <c r="AY74" s="406" t="str">
        <f>IFERROR(VLOOKUP((CONCATENATE(AM74,AX74)),Listados!$U$3:$V$11,2,FALSE),"")</f>
        <v/>
      </c>
      <c r="AZ74" s="404">
        <f t="shared" si="23"/>
        <v>100</v>
      </c>
      <c r="BA74" s="942"/>
      <c r="BB74" s="942"/>
      <c r="BC74" s="407">
        <f>+IF(AND(W74="Preventivo",BB73="Fuerte"),2,IF(AND(W74="Preventivo",BB73="Moderado"),1,0))</f>
        <v>0</v>
      </c>
      <c r="BD74" s="407">
        <f>+IF(AND(W74="Detectivo/Correctivo",$BB73="Fuerte"),2,IF(AND(W74="Detectivo/Correctivo",$BB74="Moderado"),1,IF(AND(W74="Preventivo",$BB73="Fuerte"),1,0)))</f>
        <v>0</v>
      </c>
      <c r="BE74" s="407" t="e">
        <f>+N73-BC74</f>
        <v>#N/A</v>
      </c>
      <c r="BF74" s="407" t="e">
        <f>+P73-BD74</f>
        <v>#N/A</v>
      </c>
      <c r="BG74" s="565"/>
      <c r="BH74" s="565"/>
      <c r="BI74" s="565"/>
      <c r="BJ74" s="573"/>
      <c r="BK74" s="573"/>
      <c r="BL74" s="573"/>
      <c r="BM74" s="939"/>
    </row>
    <row r="75" spans="1:65" ht="65.099999999999994" customHeight="1">
      <c r="A75" s="953"/>
      <c r="B75" s="949"/>
      <c r="C75" s="686"/>
      <c r="D75" s="401"/>
      <c r="E75" s="401"/>
      <c r="F75" s="948"/>
      <c r="G75" s="947"/>
      <c r="H75" s="375"/>
      <c r="I75" s="375"/>
      <c r="J75" s="375"/>
      <c r="K75" s="402"/>
      <c r="L75" s="403"/>
      <c r="M75" s="689"/>
      <c r="N75" s="943"/>
      <c r="O75" s="945"/>
      <c r="P75" s="943"/>
      <c r="Q75" s="565"/>
      <c r="R75" s="565"/>
      <c r="S75" s="332"/>
      <c r="T75" s="332"/>
      <c r="U75" s="347" t="s">
        <v>1179</v>
      </c>
      <c r="V75" s="408"/>
      <c r="W75" s="408"/>
      <c r="X75" s="408"/>
      <c r="Y75" s="332" t="str">
        <f t="shared" si="13"/>
        <v/>
      </c>
      <c r="Z75" s="408"/>
      <c r="AA75" s="332" t="str">
        <f t="shared" si="14"/>
        <v/>
      </c>
      <c r="AB75" s="332"/>
      <c r="AC75" s="332" t="str">
        <f t="shared" si="15"/>
        <v/>
      </c>
      <c r="AD75" s="332"/>
      <c r="AE75" s="332" t="str">
        <f t="shared" si="16"/>
        <v/>
      </c>
      <c r="AF75" s="332"/>
      <c r="AG75" s="332" t="str">
        <f t="shared" si="17"/>
        <v/>
      </c>
      <c r="AH75" s="332"/>
      <c r="AI75" s="332" t="str">
        <f t="shared" si="18"/>
        <v/>
      </c>
      <c r="AJ75" s="332"/>
      <c r="AK75" s="333" t="str">
        <f t="shared" si="19"/>
        <v/>
      </c>
      <c r="AL75" s="404" t="str">
        <f t="shared" si="20"/>
        <v/>
      </c>
      <c r="AM75" s="404" t="str">
        <f t="shared" si="21"/>
        <v/>
      </c>
      <c r="AN75" s="405"/>
      <c r="AO75" s="405"/>
      <c r="AP75" s="405"/>
      <c r="AQ75" s="405"/>
      <c r="AR75" s="405"/>
      <c r="AS75" s="405"/>
      <c r="AT75" s="405"/>
      <c r="AU75" s="400" t="str">
        <f>IFERROR(VLOOKUP(AT75,'Seguridad Información'!$I$61:$J$65,2,0),"")</f>
        <v/>
      </c>
      <c r="AV75" s="400"/>
      <c r="AW75" s="406" t="str">
        <f t="shared" si="12"/>
        <v/>
      </c>
      <c r="AX75" s="404" t="str">
        <f t="shared" si="22"/>
        <v/>
      </c>
      <c r="AY75" s="406" t="str">
        <f>IFERROR(VLOOKUP((CONCATENATE(AM75,AX75)),Listados!$U$3:$V$11,2,FALSE),"")</f>
        <v/>
      </c>
      <c r="AZ75" s="404">
        <f t="shared" si="23"/>
        <v>100</v>
      </c>
      <c r="BA75" s="942"/>
      <c r="BB75" s="942"/>
      <c r="BC75" s="407">
        <f>+IF(AND(W75="Preventivo",BB73="Fuerte"),2,IF(AND(W75="Preventivo",BB73="Moderado"),1,0))</f>
        <v>0</v>
      </c>
      <c r="BD75" s="407">
        <f>+IF(AND(W75="Detectivo/Correctivo",$BB73="Fuerte"),2,IF(AND(W75="Detectivo/Correctivo",$BB75="Moderado"),1,IF(AND(W75="Preventivo",$BB73="Fuerte"),1,0)))</f>
        <v>0</v>
      </c>
      <c r="BE75" s="407" t="e">
        <f>+N73-BC75</f>
        <v>#N/A</v>
      </c>
      <c r="BF75" s="407" t="e">
        <f>+P73-BD75</f>
        <v>#N/A</v>
      </c>
      <c r="BG75" s="565"/>
      <c r="BH75" s="565"/>
      <c r="BI75" s="565"/>
      <c r="BJ75" s="573"/>
      <c r="BK75" s="573"/>
      <c r="BL75" s="573"/>
      <c r="BM75" s="939"/>
    </row>
    <row r="76" spans="1:65" ht="65.099999999999994" customHeight="1">
      <c r="A76" s="953"/>
      <c r="B76" s="949"/>
      <c r="C76" s="686"/>
      <c r="D76" s="401"/>
      <c r="E76" s="401"/>
      <c r="F76" s="948"/>
      <c r="G76" s="947"/>
      <c r="H76" s="375"/>
      <c r="I76" s="375"/>
      <c r="J76" s="375"/>
      <c r="K76" s="402"/>
      <c r="L76" s="403"/>
      <c r="M76" s="689"/>
      <c r="N76" s="943"/>
      <c r="O76" s="945"/>
      <c r="P76" s="943"/>
      <c r="Q76" s="565"/>
      <c r="R76" s="565"/>
      <c r="S76" s="332"/>
      <c r="T76" s="332"/>
      <c r="U76" s="347" t="s">
        <v>1179</v>
      </c>
      <c r="V76" s="408"/>
      <c r="W76" s="408"/>
      <c r="X76" s="408"/>
      <c r="Y76" s="332" t="str">
        <f t="shared" si="13"/>
        <v/>
      </c>
      <c r="Z76" s="408"/>
      <c r="AA76" s="332" t="str">
        <f t="shared" si="14"/>
        <v/>
      </c>
      <c r="AB76" s="332"/>
      <c r="AC76" s="332" t="str">
        <f t="shared" si="15"/>
        <v/>
      </c>
      <c r="AD76" s="332"/>
      <c r="AE76" s="332" t="str">
        <f t="shared" si="16"/>
        <v/>
      </c>
      <c r="AF76" s="332"/>
      <c r="AG76" s="332" t="str">
        <f t="shared" si="17"/>
        <v/>
      </c>
      <c r="AH76" s="332"/>
      <c r="AI76" s="332" t="str">
        <f t="shared" si="18"/>
        <v/>
      </c>
      <c r="AJ76" s="332"/>
      <c r="AK76" s="333" t="str">
        <f t="shared" si="19"/>
        <v/>
      </c>
      <c r="AL76" s="404" t="str">
        <f t="shared" si="20"/>
        <v/>
      </c>
      <c r="AM76" s="404" t="str">
        <f t="shared" si="21"/>
        <v/>
      </c>
      <c r="AN76" s="405"/>
      <c r="AO76" s="405"/>
      <c r="AP76" s="405"/>
      <c r="AQ76" s="405"/>
      <c r="AR76" s="405"/>
      <c r="AS76" s="405"/>
      <c r="AT76" s="405"/>
      <c r="AU76" s="400" t="str">
        <f>IFERROR(VLOOKUP(AT76,'Seguridad Información'!$I$61:$J$65,2,0),"")</f>
        <v/>
      </c>
      <c r="AV76" s="400"/>
      <c r="AW76" s="406" t="str">
        <f t="shared" si="12"/>
        <v/>
      </c>
      <c r="AX76" s="404" t="str">
        <f t="shared" si="22"/>
        <v/>
      </c>
      <c r="AY76" s="406" t="str">
        <f>IFERROR(VLOOKUP((CONCATENATE(AM76,AX76)),Listados!$U$3:$V$11,2,FALSE),"")</f>
        <v/>
      </c>
      <c r="AZ76" s="404">
        <f t="shared" si="23"/>
        <v>100</v>
      </c>
      <c r="BA76" s="942"/>
      <c r="BB76" s="942"/>
      <c r="BC76" s="407">
        <f>+IF(AND(W76="Preventivo",BB73="Fuerte"),2,IF(AND(W76="Preventivo",BB73="Moderado"),1,0))</f>
        <v>0</v>
      </c>
      <c r="BD76" s="407">
        <f>+IF(AND(W76="Detectivo/Correctivo",$BB73="Fuerte"),2,IF(AND(W76="Detectivo/Correctivo",$BB76="Moderado"),1,IF(AND(W76="Preventivo",$BB73="Fuerte"),1,0)))</f>
        <v>0</v>
      </c>
      <c r="BE76" s="407" t="e">
        <f>+N73-BC76</f>
        <v>#N/A</v>
      </c>
      <c r="BF76" s="407" t="e">
        <f>+P73-BD76</f>
        <v>#N/A</v>
      </c>
      <c r="BG76" s="565"/>
      <c r="BH76" s="565"/>
      <c r="BI76" s="565"/>
      <c r="BJ76" s="573"/>
      <c r="BK76" s="573"/>
      <c r="BL76" s="573"/>
      <c r="BM76" s="939"/>
    </row>
    <row r="77" spans="1:65" ht="65.099999999999994" customHeight="1">
      <c r="A77" s="953"/>
      <c r="B77" s="949"/>
      <c r="C77" s="686"/>
      <c r="D77" s="401"/>
      <c r="E77" s="401"/>
      <c r="F77" s="948"/>
      <c r="G77" s="947"/>
      <c r="H77" s="375"/>
      <c r="I77" s="375"/>
      <c r="J77" s="375"/>
      <c r="K77" s="402"/>
      <c r="L77" s="403"/>
      <c r="M77" s="689"/>
      <c r="N77" s="943"/>
      <c r="O77" s="945"/>
      <c r="P77" s="943"/>
      <c r="Q77" s="565"/>
      <c r="R77" s="565"/>
      <c r="S77" s="332"/>
      <c r="T77" s="332"/>
      <c r="U77" s="347" t="s">
        <v>1179</v>
      </c>
      <c r="V77" s="408"/>
      <c r="W77" s="408"/>
      <c r="X77" s="408"/>
      <c r="Y77" s="332" t="str">
        <f t="shared" si="13"/>
        <v/>
      </c>
      <c r="Z77" s="408"/>
      <c r="AA77" s="332" t="str">
        <f t="shared" si="14"/>
        <v/>
      </c>
      <c r="AB77" s="332"/>
      <c r="AC77" s="332" t="str">
        <f t="shared" si="15"/>
        <v/>
      </c>
      <c r="AD77" s="332"/>
      <c r="AE77" s="332" t="str">
        <f t="shared" si="16"/>
        <v/>
      </c>
      <c r="AF77" s="332"/>
      <c r="AG77" s="332" t="str">
        <f t="shared" si="17"/>
        <v/>
      </c>
      <c r="AH77" s="332"/>
      <c r="AI77" s="332" t="str">
        <f t="shared" si="18"/>
        <v/>
      </c>
      <c r="AJ77" s="332"/>
      <c r="AK77" s="333" t="str">
        <f t="shared" si="19"/>
        <v/>
      </c>
      <c r="AL77" s="404" t="str">
        <f t="shared" si="20"/>
        <v/>
      </c>
      <c r="AM77" s="404" t="str">
        <f t="shared" si="21"/>
        <v/>
      </c>
      <c r="AN77" s="405"/>
      <c r="AO77" s="405"/>
      <c r="AP77" s="405"/>
      <c r="AQ77" s="405"/>
      <c r="AR77" s="405"/>
      <c r="AS77" s="405"/>
      <c r="AT77" s="405"/>
      <c r="AU77" s="400" t="str">
        <f>IFERROR(VLOOKUP(AT77,'Seguridad Información'!$I$61:$J$65,2,0),"")</f>
        <v/>
      </c>
      <c r="AV77" s="400"/>
      <c r="AW77" s="406" t="str">
        <f t="shared" si="12"/>
        <v/>
      </c>
      <c r="AX77" s="404" t="str">
        <f t="shared" si="22"/>
        <v/>
      </c>
      <c r="AY77" s="406" t="str">
        <f>IFERROR(VLOOKUP((CONCATENATE(AM77,AX77)),Listados!$U$3:$V$11,2,FALSE),"")</f>
        <v/>
      </c>
      <c r="AZ77" s="404">
        <f t="shared" si="23"/>
        <v>100</v>
      </c>
      <c r="BA77" s="942"/>
      <c r="BB77" s="942"/>
      <c r="BC77" s="407">
        <f>+IF(AND(W77="Preventivo",BB73="Fuerte"),2,IF(AND(W77="Preventivo",BB73="Moderado"),1,0))</f>
        <v>0</v>
      </c>
      <c r="BD77" s="407">
        <f>+IF(AND(W77="Detectivo/Correctivo",$BB73="Fuerte"),2,IF(AND(W77="Detectivo/Correctivo",$BB77="Moderado"),1,IF(AND(W77="Preventivo",$BB73="Fuerte"),1,0)))</f>
        <v>0</v>
      </c>
      <c r="BE77" s="407" t="e">
        <f>+N73-BC77</f>
        <v>#N/A</v>
      </c>
      <c r="BF77" s="407" t="e">
        <f>+P73-BD77</f>
        <v>#N/A</v>
      </c>
      <c r="BG77" s="565"/>
      <c r="BH77" s="565"/>
      <c r="BI77" s="565"/>
      <c r="BJ77" s="573"/>
      <c r="BK77" s="573"/>
      <c r="BL77" s="573"/>
      <c r="BM77" s="939"/>
    </row>
    <row r="78" spans="1:65" ht="65.099999999999994" customHeight="1">
      <c r="A78" s="953"/>
      <c r="B78" s="949"/>
      <c r="C78" s="686"/>
      <c r="D78" s="401"/>
      <c r="E78" s="401"/>
      <c r="F78" s="948"/>
      <c r="G78" s="947"/>
      <c r="H78" s="375"/>
      <c r="I78" s="375"/>
      <c r="J78" s="375"/>
      <c r="K78" s="402"/>
      <c r="L78" s="403"/>
      <c r="M78" s="689"/>
      <c r="N78" s="943"/>
      <c r="O78" s="945"/>
      <c r="P78" s="943"/>
      <c r="Q78" s="565"/>
      <c r="R78" s="565"/>
      <c r="S78" s="332"/>
      <c r="T78" s="332"/>
      <c r="U78" s="347" t="s">
        <v>1179</v>
      </c>
      <c r="V78" s="408"/>
      <c r="W78" s="408"/>
      <c r="X78" s="408"/>
      <c r="Y78" s="332" t="str">
        <f t="shared" si="13"/>
        <v/>
      </c>
      <c r="Z78" s="408"/>
      <c r="AA78" s="332" t="str">
        <f t="shared" si="14"/>
        <v/>
      </c>
      <c r="AB78" s="332"/>
      <c r="AC78" s="332" t="str">
        <f t="shared" si="15"/>
        <v/>
      </c>
      <c r="AD78" s="332"/>
      <c r="AE78" s="332" t="str">
        <f t="shared" si="16"/>
        <v/>
      </c>
      <c r="AF78" s="332"/>
      <c r="AG78" s="332" t="str">
        <f t="shared" si="17"/>
        <v/>
      </c>
      <c r="AH78" s="332"/>
      <c r="AI78" s="332" t="str">
        <f t="shared" si="18"/>
        <v/>
      </c>
      <c r="AJ78" s="332"/>
      <c r="AK78" s="333" t="str">
        <f t="shared" si="19"/>
        <v/>
      </c>
      <c r="AL78" s="404" t="str">
        <f t="shared" si="20"/>
        <v/>
      </c>
      <c r="AM78" s="404" t="str">
        <f t="shared" si="21"/>
        <v/>
      </c>
      <c r="AN78" s="405"/>
      <c r="AO78" s="405"/>
      <c r="AP78" s="405"/>
      <c r="AQ78" s="405"/>
      <c r="AR78" s="405"/>
      <c r="AS78" s="405"/>
      <c r="AT78" s="405"/>
      <c r="AU78" s="400" t="str">
        <f>IFERROR(VLOOKUP(AT78,'Seguridad Información'!$I$61:$J$65,2,0),"")</f>
        <v/>
      </c>
      <c r="AV78" s="400"/>
      <c r="AW78" s="406" t="str">
        <f t="shared" si="12"/>
        <v/>
      </c>
      <c r="AX78" s="404" t="str">
        <f t="shared" si="22"/>
        <v/>
      </c>
      <c r="AY78" s="406" t="str">
        <f>IFERROR(VLOOKUP((CONCATENATE(AM78,AX78)),Listados!$U$3:$V$11,2,FALSE),"")</f>
        <v/>
      </c>
      <c r="AZ78" s="404">
        <f t="shared" si="23"/>
        <v>100</v>
      </c>
      <c r="BA78" s="942"/>
      <c r="BB78" s="942"/>
      <c r="BC78" s="407">
        <f>+IF(AND(W78="Preventivo",BB73="Fuerte"),2,IF(AND(W78="Preventivo",BB73="Moderado"),1,0))</f>
        <v>0</v>
      </c>
      <c r="BD78" s="407">
        <f>+IF(AND(W78="Detectivo/Correctivo",$BB73="Fuerte"),2,IF(AND(W78="Detectivo/Correctivo",$BB78="Moderado"),1,IF(AND(W78="Preventivo",$BB73="Fuerte"),1,0)))</f>
        <v>0</v>
      </c>
      <c r="BE78" s="407" t="e">
        <f>+N73-BC78</f>
        <v>#N/A</v>
      </c>
      <c r="BF78" s="407" t="e">
        <f>+P73-BD78</f>
        <v>#N/A</v>
      </c>
      <c r="BG78" s="565"/>
      <c r="BH78" s="565"/>
      <c r="BI78" s="565"/>
      <c r="BJ78" s="573"/>
      <c r="BK78" s="573"/>
      <c r="BL78" s="573"/>
      <c r="BM78" s="939"/>
    </row>
    <row r="79" spans="1:65" ht="65.099999999999994" customHeight="1">
      <c r="A79" s="953">
        <v>13</v>
      </c>
      <c r="B79" s="949"/>
      <c r="C79" s="686" t="str">
        <f>IFERROR(VLOOKUP(B79,Listados!B$3:C$20,2,FALSE),"")</f>
        <v/>
      </c>
      <c r="D79" s="401"/>
      <c r="E79" s="401"/>
      <c r="F79" s="948"/>
      <c r="G79" s="947"/>
      <c r="H79" s="375"/>
      <c r="I79" s="375"/>
      <c r="J79" s="375"/>
      <c r="K79" s="402"/>
      <c r="L79" s="403"/>
      <c r="M79" s="689"/>
      <c r="N79" s="943" t="e">
        <f>+VLOOKUP(M79,Listados!$K$8:$L$12,2,0)</f>
        <v>#N/A</v>
      </c>
      <c r="O79" s="945"/>
      <c r="P79" s="943" t="e">
        <f>+VLOOKUP(O79,Listados!$K$13:$L$17,2,0)</f>
        <v>#N/A</v>
      </c>
      <c r="Q79" s="565" t="str">
        <f>IF(AND(M79&lt;&gt;"",O79&lt;&gt;""),VLOOKUP(M79&amp;O79,Listados!$M$3:$N$27,2,FALSE),"")</f>
        <v/>
      </c>
      <c r="R79" s="565" t="e">
        <f>+VLOOKUP(Q79,Listados!$P$3:$Q$6,2,FALSE)</f>
        <v>#N/A</v>
      </c>
      <c r="S79" s="332"/>
      <c r="T79" s="332"/>
      <c r="U79" s="347" t="s">
        <v>1179</v>
      </c>
      <c r="V79" s="408"/>
      <c r="W79" s="408"/>
      <c r="X79" s="408"/>
      <c r="Y79" s="332" t="str">
        <f t="shared" si="13"/>
        <v/>
      </c>
      <c r="Z79" s="408"/>
      <c r="AA79" s="332" t="str">
        <f t="shared" si="14"/>
        <v/>
      </c>
      <c r="AB79" s="332"/>
      <c r="AC79" s="332" t="str">
        <f t="shared" si="15"/>
        <v/>
      </c>
      <c r="AD79" s="332"/>
      <c r="AE79" s="332" t="str">
        <f t="shared" si="16"/>
        <v/>
      </c>
      <c r="AF79" s="332"/>
      <c r="AG79" s="332" t="str">
        <f t="shared" si="17"/>
        <v/>
      </c>
      <c r="AH79" s="332"/>
      <c r="AI79" s="332" t="str">
        <f t="shared" si="18"/>
        <v/>
      </c>
      <c r="AJ79" s="332"/>
      <c r="AK79" s="333" t="str">
        <f t="shared" si="19"/>
        <v/>
      </c>
      <c r="AL79" s="404" t="str">
        <f t="shared" si="20"/>
        <v/>
      </c>
      <c r="AM79" s="404" t="str">
        <f t="shared" si="21"/>
        <v/>
      </c>
      <c r="AN79" s="405"/>
      <c r="AO79" s="405"/>
      <c r="AP79" s="405"/>
      <c r="AQ79" s="405"/>
      <c r="AR79" s="405"/>
      <c r="AS79" s="405"/>
      <c r="AT79" s="405"/>
      <c r="AU79" s="400" t="str">
        <f>IFERROR(VLOOKUP(AT79,'Seguridad Información'!$I$61:$J$65,2,0),"")</f>
        <v/>
      </c>
      <c r="AV79" s="400"/>
      <c r="AW79" s="406" t="str">
        <f t="shared" si="12"/>
        <v/>
      </c>
      <c r="AX79" s="404" t="str">
        <f t="shared" si="22"/>
        <v/>
      </c>
      <c r="AY79" s="406" t="str">
        <f>IFERROR(VLOOKUP((CONCATENATE(AM79,AX79)),Listados!$U$3:$V$11,2,FALSE),"")</f>
        <v/>
      </c>
      <c r="AZ79" s="404">
        <f t="shared" si="23"/>
        <v>100</v>
      </c>
      <c r="BA79" s="942">
        <f>AVERAGE(AZ79:AZ84)</f>
        <v>100</v>
      </c>
      <c r="BB79" s="942" t="str">
        <f>IF(BA79&lt;=50, "Débil", IF(BA79&lt;=99,"Moderado","Fuerte"))</f>
        <v>Fuerte</v>
      </c>
      <c r="BC79" s="407">
        <f>+IF(AND(W79="Preventivo",BB79="Fuerte"),2,IF(AND(W79="Preventivo",BB79="Moderado"),1,0))</f>
        <v>0</v>
      </c>
      <c r="BD79" s="407">
        <f>+IF(AND(W79="Detectivo/Correctivo",$BB79="Fuerte"),2,IF(AND(W79="Detectivo/Correctivo",$BB79="Moderado"),1,IF(AND(W79="Preventivo",$BB79="Fuerte"),1,0)))</f>
        <v>0</v>
      </c>
      <c r="BE79" s="407" t="e">
        <f>+N79-BC79</f>
        <v>#N/A</v>
      </c>
      <c r="BF79" s="407" t="e">
        <f>+P79-BD79</f>
        <v>#N/A</v>
      </c>
      <c r="BG79" s="565" t="e">
        <f>+VLOOKUP(MIN(BE79,BE80,BE81,BE82,BE83,BE84),Listados!$J$18:$K$24,2,TRUE)</f>
        <v>#N/A</v>
      </c>
      <c r="BH79" s="565" t="e">
        <f>+VLOOKUP(MIN(BF79,BF80,BF81,BF82,BF83,BF84),Listados!$J$27:$K$32,2,TRUE)</f>
        <v>#N/A</v>
      </c>
      <c r="BI79" s="565" t="e">
        <f>IF(AND(BG79&lt;&gt;"",BH79&lt;&gt;""),VLOOKUP(BG79&amp;BH79,Listados!$M$3:$N$27,2,FALSE),"")</f>
        <v>#N/A</v>
      </c>
      <c r="BJ79" s="573" t="e">
        <f>+IF($R79="Asumir el riesgo","NA","")</f>
        <v>#N/A</v>
      </c>
      <c r="BK79" s="573" t="e">
        <f>+IF($R79="Asumir el riesgo","NA","")</f>
        <v>#N/A</v>
      </c>
      <c r="BL79" s="573" t="e">
        <f>+IF($R79="Asumir el riesgo","NA","")</f>
        <v>#N/A</v>
      </c>
      <c r="BM79" s="939" t="e">
        <f>+IF($R79="Asumir el riesgo","NA","")</f>
        <v>#N/A</v>
      </c>
    </row>
    <row r="80" spans="1:65" ht="65.099999999999994" customHeight="1">
      <c r="A80" s="953"/>
      <c r="B80" s="949"/>
      <c r="C80" s="686"/>
      <c r="D80" s="401"/>
      <c r="E80" s="401"/>
      <c r="F80" s="948"/>
      <c r="G80" s="947"/>
      <c r="H80" s="375"/>
      <c r="I80" s="375"/>
      <c r="J80" s="375"/>
      <c r="K80" s="402"/>
      <c r="L80" s="403"/>
      <c r="M80" s="689"/>
      <c r="N80" s="943"/>
      <c r="O80" s="945"/>
      <c r="P80" s="943"/>
      <c r="Q80" s="565"/>
      <c r="R80" s="565"/>
      <c r="S80" s="332"/>
      <c r="T80" s="332"/>
      <c r="U80" s="347" t="s">
        <v>1179</v>
      </c>
      <c r="V80" s="408"/>
      <c r="W80" s="408"/>
      <c r="X80" s="408"/>
      <c r="Y80" s="332" t="str">
        <f t="shared" si="13"/>
        <v/>
      </c>
      <c r="Z80" s="408"/>
      <c r="AA80" s="332" t="str">
        <f t="shared" si="14"/>
        <v/>
      </c>
      <c r="AB80" s="332"/>
      <c r="AC80" s="332" t="str">
        <f t="shared" si="15"/>
        <v/>
      </c>
      <c r="AD80" s="332"/>
      <c r="AE80" s="332" t="str">
        <f t="shared" si="16"/>
        <v/>
      </c>
      <c r="AF80" s="332"/>
      <c r="AG80" s="332" t="str">
        <f t="shared" si="17"/>
        <v/>
      </c>
      <c r="AH80" s="332"/>
      <c r="AI80" s="332" t="str">
        <f t="shared" si="18"/>
        <v/>
      </c>
      <c r="AJ80" s="332"/>
      <c r="AK80" s="333" t="str">
        <f t="shared" si="19"/>
        <v/>
      </c>
      <c r="AL80" s="404" t="str">
        <f t="shared" si="20"/>
        <v/>
      </c>
      <c r="AM80" s="404" t="str">
        <f t="shared" si="21"/>
        <v/>
      </c>
      <c r="AN80" s="405"/>
      <c r="AO80" s="405"/>
      <c r="AP80" s="405"/>
      <c r="AQ80" s="405"/>
      <c r="AR80" s="405"/>
      <c r="AS80" s="405"/>
      <c r="AT80" s="405"/>
      <c r="AU80" s="400" t="str">
        <f>IFERROR(VLOOKUP(AT80,'Seguridad Información'!$I$61:$J$65,2,0),"")</f>
        <v/>
      </c>
      <c r="AV80" s="400"/>
      <c r="AW80" s="406" t="str">
        <f t="shared" si="12"/>
        <v/>
      </c>
      <c r="AX80" s="404" t="str">
        <f t="shared" si="22"/>
        <v/>
      </c>
      <c r="AY80" s="406" t="str">
        <f>IFERROR(VLOOKUP((CONCATENATE(AM80,AX80)),Listados!$U$3:$V$11,2,FALSE),"")</f>
        <v/>
      </c>
      <c r="AZ80" s="404">
        <f t="shared" si="23"/>
        <v>100</v>
      </c>
      <c r="BA80" s="942"/>
      <c r="BB80" s="942"/>
      <c r="BC80" s="407">
        <f>+IF(AND(W80="Preventivo",BB79="Fuerte"),2,IF(AND(W80="Preventivo",BB79="Moderado"),1,0))</f>
        <v>0</v>
      </c>
      <c r="BD80" s="407">
        <f>+IF(AND(W80="Detectivo/Correctivo",$BB79="Fuerte"),2,IF(AND(W80="Detectivo/Correctivo",$BB80="Moderado"),1,IF(AND(W80="Preventivo",$BB79="Fuerte"),1,0)))</f>
        <v>0</v>
      </c>
      <c r="BE80" s="407" t="e">
        <f>+N79-BC80</f>
        <v>#N/A</v>
      </c>
      <c r="BF80" s="407" t="e">
        <f>+P79-BD80</f>
        <v>#N/A</v>
      </c>
      <c r="BG80" s="565"/>
      <c r="BH80" s="565"/>
      <c r="BI80" s="565"/>
      <c r="BJ80" s="573"/>
      <c r="BK80" s="573"/>
      <c r="BL80" s="573"/>
      <c r="BM80" s="939"/>
    </row>
    <row r="81" spans="1:65" ht="65.099999999999994" customHeight="1">
      <c r="A81" s="953"/>
      <c r="B81" s="949"/>
      <c r="C81" s="686"/>
      <c r="D81" s="401"/>
      <c r="E81" s="401"/>
      <c r="F81" s="948"/>
      <c r="G81" s="947"/>
      <c r="H81" s="375"/>
      <c r="I81" s="375"/>
      <c r="J81" s="375"/>
      <c r="K81" s="402"/>
      <c r="L81" s="403"/>
      <c r="M81" s="689"/>
      <c r="N81" s="943"/>
      <c r="O81" s="945"/>
      <c r="P81" s="943"/>
      <c r="Q81" s="565"/>
      <c r="R81" s="565"/>
      <c r="S81" s="332"/>
      <c r="T81" s="332"/>
      <c r="U81" s="347" t="s">
        <v>1179</v>
      </c>
      <c r="V81" s="408"/>
      <c r="W81" s="408"/>
      <c r="X81" s="408"/>
      <c r="Y81" s="332" t="str">
        <f t="shared" si="13"/>
        <v/>
      </c>
      <c r="Z81" s="408"/>
      <c r="AA81" s="332" t="str">
        <f t="shared" si="14"/>
        <v/>
      </c>
      <c r="AB81" s="332"/>
      <c r="AC81" s="332" t="str">
        <f t="shared" si="15"/>
        <v/>
      </c>
      <c r="AD81" s="332"/>
      <c r="AE81" s="332" t="str">
        <f t="shared" si="16"/>
        <v/>
      </c>
      <c r="AF81" s="332"/>
      <c r="AG81" s="332" t="str">
        <f t="shared" si="17"/>
        <v/>
      </c>
      <c r="AH81" s="332"/>
      <c r="AI81" s="332" t="str">
        <f t="shared" si="18"/>
        <v/>
      </c>
      <c r="AJ81" s="332"/>
      <c r="AK81" s="333" t="str">
        <f t="shared" si="19"/>
        <v/>
      </c>
      <c r="AL81" s="404" t="str">
        <f t="shared" si="20"/>
        <v/>
      </c>
      <c r="AM81" s="404" t="str">
        <f t="shared" si="21"/>
        <v/>
      </c>
      <c r="AN81" s="405"/>
      <c r="AO81" s="405"/>
      <c r="AP81" s="405"/>
      <c r="AQ81" s="405"/>
      <c r="AR81" s="405"/>
      <c r="AS81" s="405"/>
      <c r="AT81" s="405"/>
      <c r="AU81" s="400" t="str">
        <f>IFERROR(VLOOKUP(AT81,'Seguridad Información'!$I$61:$J$65,2,0),"")</f>
        <v/>
      </c>
      <c r="AV81" s="400"/>
      <c r="AW81" s="406" t="str">
        <f t="shared" si="12"/>
        <v/>
      </c>
      <c r="AX81" s="404" t="str">
        <f t="shared" si="22"/>
        <v/>
      </c>
      <c r="AY81" s="406" t="str">
        <f>IFERROR(VLOOKUP((CONCATENATE(AM81,AX81)),Listados!$U$3:$V$11,2,FALSE),"")</f>
        <v/>
      </c>
      <c r="AZ81" s="404">
        <f t="shared" si="23"/>
        <v>100</v>
      </c>
      <c r="BA81" s="942"/>
      <c r="BB81" s="942"/>
      <c r="BC81" s="407">
        <f>+IF(AND(W81="Preventivo",BB79="Fuerte"),2,IF(AND(W81="Preventivo",BB79="Moderado"),1,0))</f>
        <v>0</v>
      </c>
      <c r="BD81" s="407">
        <f>+IF(AND(W81="Detectivo/Correctivo",$BB79="Fuerte"),2,IF(AND(W81="Detectivo/Correctivo",$BB81="Moderado"),1,IF(AND(W81="Preventivo",$BB79="Fuerte"),1,0)))</f>
        <v>0</v>
      </c>
      <c r="BE81" s="407" t="e">
        <f>+N79-BC81</f>
        <v>#N/A</v>
      </c>
      <c r="BF81" s="407" t="e">
        <f>+P79-BD81</f>
        <v>#N/A</v>
      </c>
      <c r="BG81" s="565"/>
      <c r="BH81" s="565"/>
      <c r="BI81" s="565"/>
      <c r="BJ81" s="573"/>
      <c r="BK81" s="573"/>
      <c r="BL81" s="573"/>
      <c r="BM81" s="939"/>
    </row>
    <row r="82" spans="1:65" ht="65.099999999999994" customHeight="1">
      <c r="A82" s="953"/>
      <c r="B82" s="949"/>
      <c r="C82" s="686"/>
      <c r="D82" s="401"/>
      <c r="E82" s="401"/>
      <c r="F82" s="948"/>
      <c r="G82" s="947"/>
      <c r="H82" s="375"/>
      <c r="I82" s="375"/>
      <c r="J82" s="375"/>
      <c r="K82" s="402"/>
      <c r="L82" s="403"/>
      <c r="M82" s="689"/>
      <c r="N82" s="943"/>
      <c r="O82" s="945"/>
      <c r="P82" s="943"/>
      <c r="Q82" s="565"/>
      <c r="R82" s="565"/>
      <c r="S82" s="332"/>
      <c r="T82" s="332"/>
      <c r="U82" s="347" t="s">
        <v>1179</v>
      </c>
      <c r="V82" s="408"/>
      <c r="W82" s="408"/>
      <c r="X82" s="408"/>
      <c r="Y82" s="332" t="str">
        <f t="shared" si="13"/>
        <v/>
      </c>
      <c r="Z82" s="408"/>
      <c r="AA82" s="332" t="str">
        <f t="shared" si="14"/>
        <v/>
      </c>
      <c r="AB82" s="332"/>
      <c r="AC82" s="332" t="str">
        <f t="shared" si="15"/>
        <v/>
      </c>
      <c r="AD82" s="332"/>
      <c r="AE82" s="332" t="str">
        <f t="shared" si="16"/>
        <v/>
      </c>
      <c r="AF82" s="332"/>
      <c r="AG82" s="332" t="str">
        <f t="shared" si="17"/>
        <v/>
      </c>
      <c r="AH82" s="332"/>
      <c r="AI82" s="332" t="str">
        <f t="shared" si="18"/>
        <v/>
      </c>
      <c r="AJ82" s="332"/>
      <c r="AK82" s="333" t="str">
        <f t="shared" si="19"/>
        <v/>
      </c>
      <c r="AL82" s="404" t="str">
        <f t="shared" si="20"/>
        <v/>
      </c>
      <c r="AM82" s="404" t="str">
        <f t="shared" si="21"/>
        <v/>
      </c>
      <c r="AN82" s="405"/>
      <c r="AO82" s="405"/>
      <c r="AP82" s="405"/>
      <c r="AQ82" s="405"/>
      <c r="AR82" s="405"/>
      <c r="AS82" s="405"/>
      <c r="AT82" s="405"/>
      <c r="AU82" s="400" t="str">
        <f>IFERROR(VLOOKUP(AT82,'Seguridad Información'!$I$61:$J$65,2,0),"")</f>
        <v/>
      </c>
      <c r="AV82" s="400"/>
      <c r="AW82" s="406" t="str">
        <f t="shared" si="12"/>
        <v/>
      </c>
      <c r="AX82" s="404" t="str">
        <f t="shared" si="22"/>
        <v/>
      </c>
      <c r="AY82" s="406" t="str">
        <f>IFERROR(VLOOKUP((CONCATENATE(AM82,AX82)),Listados!$U$3:$V$11,2,FALSE),"")</f>
        <v/>
      </c>
      <c r="AZ82" s="404">
        <f t="shared" si="23"/>
        <v>100</v>
      </c>
      <c r="BA82" s="942"/>
      <c r="BB82" s="942"/>
      <c r="BC82" s="407">
        <f>+IF(AND(W82="Preventivo",BB79="Fuerte"),2,IF(AND(W82="Preventivo",BB79="Moderado"),1,0))</f>
        <v>0</v>
      </c>
      <c r="BD82" s="407">
        <f>+IF(AND(W82="Detectivo/Correctivo",$BB79="Fuerte"),2,IF(AND(W82="Detectivo/Correctivo",$BB82="Moderado"),1,IF(AND(W82="Preventivo",$BB79="Fuerte"),1,0)))</f>
        <v>0</v>
      </c>
      <c r="BE82" s="407" t="e">
        <f>+N79-BC82</f>
        <v>#N/A</v>
      </c>
      <c r="BF82" s="407" t="e">
        <f>+P79-BD82</f>
        <v>#N/A</v>
      </c>
      <c r="BG82" s="565"/>
      <c r="BH82" s="565"/>
      <c r="BI82" s="565"/>
      <c r="BJ82" s="573"/>
      <c r="BK82" s="573"/>
      <c r="BL82" s="573"/>
      <c r="BM82" s="939"/>
    </row>
    <row r="83" spans="1:65" ht="65.099999999999994" customHeight="1">
      <c r="A83" s="953"/>
      <c r="B83" s="949"/>
      <c r="C83" s="686"/>
      <c r="D83" s="401"/>
      <c r="E83" s="401"/>
      <c r="F83" s="948"/>
      <c r="G83" s="947"/>
      <c r="H83" s="375"/>
      <c r="I83" s="375"/>
      <c r="J83" s="375"/>
      <c r="K83" s="402"/>
      <c r="L83" s="403"/>
      <c r="M83" s="689"/>
      <c r="N83" s="943"/>
      <c r="O83" s="945"/>
      <c r="P83" s="943"/>
      <c r="Q83" s="565"/>
      <c r="R83" s="565"/>
      <c r="S83" s="332"/>
      <c r="T83" s="332"/>
      <c r="U83" s="347" t="s">
        <v>1179</v>
      </c>
      <c r="V83" s="408"/>
      <c r="W83" s="408"/>
      <c r="X83" s="408"/>
      <c r="Y83" s="332" t="str">
        <f t="shared" si="13"/>
        <v/>
      </c>
      <c r="Z83" s="408"/>
      <c r="AA83" s="332" t="str">
        <f t="shared" si="14"/>
        <v/>
      </c>
      <c r="AB83" s="332"/>
      <c r="AC83" s="332" t="str">
        <f t="shared" si="15"/>
        <v/>
      </c>
      <c r="AD83" s="332"/>
      <c r="AE83" s="332" t="str">
        <f t="shared" si="16"/>
        <v/>
      </c>
      <c r="AF83" s="332"/>
      <c r="AG83" s="332" t="str">
        <f t="shared" si="17"/>
        <v/>
      </c>
      <c r="AH83" s="332"/>
      <c r="AI83" s="332" t="str">
        <f t="shared" si="18"/>
        <v/>
      </c>
      <c r="AJ83" s="332"/>
      <c r="AK83" s="333" t="str">
        <f t="shared" si="19"/>
        <v/>
      </c>
      <c r="AL83" s="404" t="str">
        <f t="shared" si="20"/>
        <v/>
      </c>
      <c r="AM83" s="404" t="str">
        <f t="shared" si="21"/>
        <v/>
      </c>
      <c r="AN83" s="405"/>
      <c r="AO83" s="405"/>
      <c r="AP83" s="405"/>
      <c r="AQ83" s="405"/>
      <c r="AR83" s="405"/>
      <c r="AS83" s="405"/>
      <c r="AT83" s="405"/>
      <c r="AU83" s="400" t="str">
        <f>IFERROR(VLOOKUP(AT83,'Seguridad Información'!$I$61:$J$65,2,0),"")</f>
        <v/>
      </c>
      <c r="AV83" s="400"/>
      <c r="AW83" s="406" t="str">
        <f t="shared" si="12"/>
        <v/>
      </c>
      <c r="AX83" s="404" t="str">
        <f t="shared" si="22"/>
        <v/>
      </c>
      <c r="AY83" s="406" t="str">
        <f>IFERROR(VLOOKUP((CONCATENATE(AM83,AX83)),Listados!$U$3:$V$11,2,FALSE),"")</f>
        <v/>
      </c>
      <c r="AZ83" s="404">
        <f t="shared" si="23"/>
        <v>100</v>
      </c>
      <c r="BA83" s="942"/>
      <c r="BB83" s="942"/>
      <c r="BC83" s="407">
        <f>+IF(AND(W83="Preventivo",BB79="Fuerte"),2,IF(AND(W83="Preventivo",BB79="Moderado"),1,0))</f>
        <v>0</v>
      </c>
      <c r="BD83" s="407">
        <f>+IF(AND(W83="Detectivo/Correctivo",$BB79="Fuerte"),2,IF(AND(W83="Detectivo/Correctivo",$BB83="Moderado"),1,IF(AND(W83="Preventivo",$BB79="Fuerte"),1,0)))</f>
        <v>0</v>
      </c>
      <c r="BE83" s="407" t="e">
        <f>+N79-BC83</f>
        <v>#N/A</v>
      </c>
      <c r="BF83" s="407" t="e">
        <f>+P79-BD83</f>
        <v>#N/A</v>
      </c>
      <c r="BG83" s="565"/>
      <c r="BH83" s="565"/>
      <c r="BI83" s="565"/>
      <c r="BJ83" s="573"/>
      <c r="BK83" s="573"/>
      <c r="BL83" s="573"/>
      <c r="BM83" s="939"/>
    </row>
    <row r="84" spans="1:65" ht="65.099999999999994" customHeight="1">
      <c r="A84" s="953"/>
      <c r="B84" s="949"/>
      <c r="C84" s="686"/>
      <c r="D84" s="401"/>
      <c r="E84" s="401"/>
      <c r="F84" s="948"/>
      <c r="G84" s="947"/>
      <c r="H84" s="375"/>
      <c r="I84" s="375"/>
      <c r="J84" s="375"/>
      <c r="K84" s="402"/>
      <c r="L84" s="403"/>
      <c r="M84" s="689"/>
      <c r="N84" s="943"/>
      <c r="O84" s="945"/>
      <c r="P84" s="943"/>
      <c r="Q84" s="565"/>
      <c r="R84" s="565"/>
      <c r="S84" s="332"/>
      <c r="T84" s="332"/>
      <c r="U84" s="347" t="s">
        <v>1179</v>
      </c>
      <c r="V84" s="408"/>
      <c r="W84" s="408"/>
      <c r="X84" s="408"/>
      <c r="Y84" s="332" t="str">
        <f t="shared" si="13"/>
        <v/>
      </c>
      <c r="Z84" s="408"/>
      <c r="AA84" s="332" t="str">
        <f t="shared" si="14"/>
        <v/>
      </c>
      <c r="AB84" s="332"/>
      <c r="AC84" s="332" t="str">
        <f t="shared" si="15"/>
        <v/>
      </c>
      <c r="AD84" s="332"/>
      <c r="AE84" s="332" t="str">
        <f t="shared" si="16"/>
        <v/>
      </c>
      <c r="AF84" s="332"/>
      <c r="AG84" s="332" t="str">
        <f t="shared" si="17"/>
        <v/>
      </c>
      <c r="AH84" s="332"/>
      <c r="AI84" s="332" t="str">
        <f t="shared" si="18"/>
        <v/>
      </c>
      <c r="AJ84" s="332"/>
      <c r="AK84" s="333" t="str">
        <f t="shared" si="19"/>
        <v/>
      </c>
      <c r="AL84" s="404" t="str">
        <f t="shared" si="20"/>
        <v/>
      </c>
      <c r="AM84" s="404" t="str">
        <f t="shared" si="21"/>
        <v/>
      </c>
      <c r="AN84" s="405"/>
      <c r="AO84" s="405"/>
      <c r="AP84" s="405"/>
      <c r="AQ84" s="405"/>
      <c r="AR84" s="405"/>
      <c r="AS84" s="405"/>
      <c r="AT84" s="405"/>
      <c r="AU84" s="400" t="str">
        <f>IFERROR(VLOOKUP(AT84,'Seguridad Información'!$I$61:$J$65,2,0),"")</f>
        <v/>
      </c>
      <c r="AV84" s="400"/>
      <c r="AW84" s="406" t="str">
        <f t="shared" si="12"/>
        <v/>
      </c>
      <c r="AX84" s="404" t="str">
        <f t="shared" si="22"/>
        <v/>
      </c>
      <c r="AY84" s="406" t="str">
        <f>IFERROR(VLOOKUP((CONCATENATE(AM84,AX84)),Listados!$U$3:$V$11,2,FALSE),"")</f>
        <v/>
      </c>
      <c r="AZ84" s="404">
        <f t="shared" si="23"/>
        <v>100</v>
      </c>
      <c r="BA84" s="942"/>
      <c r="BB84" s="942"/>
      <c r="BC84" s="407">
        <f>+IF(AND(W84="Preventivo",BB79="Fuerte"),2,IF(AND(W84="Preventivo",BB79="Moderado"),1,0))</f>
        <v>0</v>
      </c>
      <c r="BD84" s="407">
        <f>+IF(AND(W84="Detectivo/Correctivo",$BB79="Fuerte"),2,IF(AND(W84="Detectivo/Correctivo",$BB84="Moderado"),1,IF(AND(W84="Preventivo",$BB79="Fuerte"),1,0)))</f>
        <v>0</v>
      </c>
      <c r="BE84" s="407" t="e">
        <f>+N79-BC84</f>
        <v>#N/A</v>
      </c>
      <c r="BF84" s="407" t="e">
        <f>+P79-BD84</f>
        <v>#N/A</v>
      </c>
      <c r="BG84" s="565"/>
      <c r="BH84" s="565"/>
      <c r="BI84" s="565"/>
      <c r="BJ84" s="573"/>
      <c r="BK84" s="573"/>
      <c r="BL84" s="573"/>
      <c r="BM84" s="939"/>
    </row>
    <row r="85" spans="1:65" ht="65.099999999999994" customHeight="1">
      <c r="A85" s="953">
        <v>14</v>
      </c>
      <c r="B85" s="949"/>
      <c r="C85" s="686" t="str">
        <f>IFERROR(VLOOKUP(B85,Listados!B$3:C$20,2,FALSE),"")</f>
        <v/>
      </c>
      <c r="D85" s="401"/>
      <c r="E85" s="401"/>
      <c r="F85" s="948"/>
      <c r="G85" s="947"/>
      <c r="H85" s="375"/>
      <c r="I85" s="375"/>
      <c r="J85" s="375"/>
      <c r="K85" s="402"/>
      <c r="L85" s="403"/>
      <c r="M85" s="689"/>
      <c r="N85" s="943" t="e">
        <f>+VLOOKUP(M85,Listados!$K$8:$L$12,2,0)</f>
        <v>#N/A</v>
      </c>
      <c r="O85" s="945"/>
      <c r="P85" s="943" t="e">
        <f>+VLOOKUP(O85,Listados!$K$13:$L$17,2,0)</f>
        <v>#N/A</v>
      </c>
      <c r="Q85" s="565" t="str">
        <f>IF(AND(M85&lt;&gt;"",O85&lt;&gt;""),VLOOKUP(M85&amp;O85,Listados!$M$3:$N$27,2,FALSE),"")</f>
        <v/>
      </c>
      <c r="R85" s="565" t="e">
        <f>+VLOOKUP(Q85,Listados!$P$3:$Q$6,2,FALSE)</f>
        <v>#N/A</v>
      </c>
      <c r="S85" s="332"/>
      <c r="T85" s="332"/>
      <c r="U85" s="347" t="s">
        <v>1179</v>
      </c>
      <c r="V85" s="408"/>
      <c r="W85" s="408"/>
      <c r="X85" s="408"/>
      <c r="Y85" s="332" t="str">
        <f t="shared" si="13"/>
        <v/>
      </c>
      <c r="Z85" s="408"/>
      <c r="AA85" s="332" t="str">
        <f t="shared" si="14"/>
        <v/>
      </c>
      <c r="AB85" s="332"/>
      <c r="AC85" s="332" t="str">
        <f t="shared" si="15"/>
        <v/>
      </c>
      <c r="AD85" s="332"/>
      <c r="AE85" s="332" t="str">
        <f t="shared" si="16"/>
        <v/>
      </c>
      <c r="AF85" s="332"/>
      <c r="AG85" s="332" t="str">
        <f t="shared" si="17"/>
        <v/>
      </c>
      <c r="AH85" s="332"/>
      <c r="AI85" s="332" t="str">
        <f t="shared" si="18"/>
        <v/>
      </c>
      <c r="AJ85" s="332"/>
      <c r="AK85" s="333" t="str">
        <f t="shared" si="19"/>
        <v/>
      </c>
      <c r="AL85" s="404" t="str">
        <f t="shared" si="20"/>
        <v/>
      </c>
      <c r="AM85" s="404" t="str">
        <f t="shared" si="21"/>
        <v/>
      </c>
      <c r="AN85" s="405"/>
      <c r="AO85" s="405"/>
      <c r="AP85" s="405"/>
      <c r="AQ85" s="405"/>
      <c r="AR85" s="405"/>
      <c r="AS85" s="405"/>
      <c r="AT85" s="405"/>
      <c r="AU85" s="400" t="str">
        <f>IFERROR(VLOOKUP(AT85,'Seguridad Información'!$I$61:$J$65,2,0),"")</f>
        <v/>
      </c>
      <c r="AV85" s="400"/>
      <c r="AW85" s="406" t="str">
        <f t="shared" si="12"/>
        <v/>
      </c>
      <c r="AX85" s="404" t="str">
        <f t="shared" si="22"/>
        <v/>
      </c>
      <c r="AY85" s="406" t="str">
        <f>IFERROR(VLOOKUP((CONCATENATE(AM85,AX85)),Listados!$U$3:$V$11,2,FALSE),"")</f>
        <v/>
      </c>
      <c r="AZ85" s="404">
        <f t="shared" si="23"/>
        <v>100</v>
      </c>
      <c r="BA85" s="942">
        <f>AVERAGE(AZ85:AZ90)</f>
        <v>100</v>
      </c>
      <c r="BB85" s="942" t="str">
        <f>IF(BA85&lt;=50, "Débil", IF(BA85&lt;=99,"Moderado","Fuerte"))</f>
        <v>Fuerte</v>
      </c>
      <c r="BC85" s="407">
        <f>+IF(AND(W85="Preventivo",BB85="Fuerte"),2,IF(AND(W85="Preventivo",BB85="Moderado"),1,0))</f>
        <v>0</v>
      </c>
      <c r="BD85" s="407">
        <f>+IF(AND(W85="Detectivo/Correctivo",$BB85="Fuerte"),2,IF(AND(W85="Detectivo/Correctivo",$BB85="Moderado"),1,IF(AND(W85="Preventivo",$BB85="Fuerte"),1,0)))</f>
        <v>0</v>
      </c>
      <c r="BE85" s="407" t="e">
        <f>+N85-BC85</f>
        <v>#N/A</v>
      </c>
      <c r="BF85" s="407" t="e">
        <f>+P85-BD85</f>
        <v>#N/A</v>
      </c>
      <c r="BG85" s="565" t="e">
        <f>+VLOOKUP(MIN(BE85,BE86,BE87,BE88,BE89,BE90),Listados!$J$18:$K$24,2,TRUE)</f>
        <v>#N/A</v>
      </c>
      <c r="BH85" s="565" t="e">
        <f>+VLOOKUP(MIN(BF85,BF86,BF87,BF88,BF89,BF90),Listados!$J$27:$K$32,2,TRUE)</f>
        <v>#N/A</v>
      </c>
      <c r="BI85" s="565" t="e">
        <f>IF(AND(BG85&lt;&gt;"",BH85&lt;&gt;""),VLOOKUP(BG85&amp;BH85,Listados!$M$3:$N$27,2,FALSE),"")</f>
        <v>#N/A</v>
      </c>
      <c r="BJ85" s="573" t="e">
        <f>+IF($R85="Asumir el riesgo","NA","")</f>
        <v>#N/A</v>
      </c>
      <c r="BK85" s="573" t="e">
        <f>+IF($R85="Asumir el riesgo","NA","")</f>
        <v>#N/A</v>
      </c>
      <c r="BL85" s="573" t="e">
        <f>+IF($R85="Asumir el riesgo","NA","")</f>
        <v>#N/A</v>
      </c>
      <c r="BM85" s="939" t="e">
        <f>+IF($R85="Asumir el riesgo","NA","")</f>
        <v>#N/A</v>
      </c>
    </row>
    <row r="86" spans="1:65" ht="65.099999999999994" customHeight="1">
      <c r="A86" s="953"/>
      <c r="B86" s="949"/>
      <c r="C86" s="686"/>
      <c r="D86" s="401"/>
      <c r="E86" s="401"/>
      <c r="F86" s="948"/>
      <c r="G86" s="947"/>
      <c r="H86" s="375"/>
      <c r="I86" s="375"/>
      <c r="J86" s="375"/>
      <c r="K86" s="402"/>
      <c r="L86" s="403"/>
      <c r="M86" s="689"/>
      <c r="N86" s="943"/>
      <c r="O86" s="945"/>
      <c r="P86" s="943"/>
      <c r="Q86" s="565"/>
      <c r="R86" s="565"/>
      <c r="S86" s="332"/>
      <c r="T86" s="332"/>
      <c r="U86" s="347" t="s">
        <v>1179</v>
      </c>
      <c r="V86" s="408"/>
      <c r="W86" s="408"/>
      <c r="X86" s="408"/>
      <c r="Y86" s="332" t="str">
        <f t="shared" si="13"/>
        <v/>
      </c>
      <c r="Z86" s="408"/>
      <c r="AA86" s="332" t="str">
        <f t="shared" si="14"/>
        <v/>
      </c>
      <c r="AB86" s="332"/>
      <c r="AC86" s="332" t="str">
        <f t="shared" si="15"/>
        <v/>
      </c>
      <c r="AD86" s="332"/>
      <c r="AE86" s="332" t="str">
        <f t="shared" si="16"/>
        <v/>
      </c>
      <c r="AF86" s="332"/>
      <c r="AG86" s="332" t="str">
        <f t="shared" si="17"/>
        <v/>
      </c>
      <c r="AH86" s="332"/>
      <c r="AI86" s="332" t="str">
        <f t="shared" si="18"/>
        <v/>
      </c>
      <c r="AJ86" s="332"/>
      <c r="AK86" s="333" t="str">
        <f t="shared" si="19"/>
        <v/>
      </c>
      <c r="AL86" s="404" t="str">
        <f t="shared" si="20"/>
        <v/>
      </c>
      <c r="AM86" s="404" t="str">
        <f t="shared" si="21"/>
        <v/>
      </c>
      <c r="AN86" s="405"/>
      <c r="AO86" s="405"/>
      <c r="AP86" s="405"/>
      <c r="AQ86" s="405"/>
      <c r="AR86" s="405"/>
      <c r="AS86" s="405"/>
      <c r="AT86" s="405"/>
      <c r="AU86" s="400" t="str">
        <f>IFERROR(VLOOKUP(AT86,'Seguridad Información'!$I$61:$J$65,2,0),"")</f>
        <v/>
      </c>
      <c r="AV86" s="400"/>
      <c r="AW86" s="406" t="str">
        <f t="shared" si="12"/>
        <v/>
      </c>
      <c r="AX86" s="404" t="str">
        <f t="shared" si="22"/>
        <v/>
      </c>
      <c r="AY86" s="406" t="str">
        <f>IFERROR(VLOOKUP((CONCATENATE(AM86,AX86)),Listados!$U$3:$V$11,2,FALSE),"")</f>
        <v/>
      </c>
      <c r="AZ86" s="404">
        <f t="shared" si="23"/>
        <v>100</v>
      </c>
      <c r="BA86" s="942"/>
      <c r="BB86" s="942"/>
      <c r="BC86" s="407">
        <f>+IF(AND(W86="Preventivo",BB85="Fuerte"),2,IF(AND(W86="Preventivo",BB85="Moderado"),1,0))</f>
        <v>0</v>
      </c>
      <c r="BD86" s="407">
        <f>+IF(AND(W86="Detectivo/Correctivo",$BB85="Fuerte"),2,IF(AND(W86="Detectivo/Correctivo",$BB86="Moderado"),1,IF(AND(W86="Preventivo",$BB85="Fuerte"),1,0)))</f>
        <v>0</v>
      </c>
      <c r="BE86" s="407" t="e">
        <f>+N85-BC86</f>
        <v>#N/A</v>
      </c>
      <c r="BF86" s="407" t="e">
        <f>+P85-BD86</f>
        <v>#N/A</v>
      </c>
      <c r="BG86" s="565"/>
      <c r="BH86" s="565"/>
      <c r="BI86" s="565"/>
      <c r="BJ86" s="573"/>
      <c r="BK86" s="573"/>
      <c r="BL86" s="573"/>
      <c r="BM86" s="939"/>
    </row>
    <row r="87" spans="1:65" ht="65.099999999999994" customHeight="1">
      <c r="A87" s="953"/>
      <c r="B87" s="949"/>
      <c r="C87" s="686"/>
      <c r="D87" s="401"/>
      <c r="E87" s="401"/>
      <c r="F87" s="948"/>
      <c r="G87" s="947"/>
      <c r="H87" s="375"/>
      <c r="I87" s="375"/>
      <c r="J87" s="375"/>
      <c r="K87" s="402"/>
      <c r="L87" s="403"/>
      <c r="M87" s="689"/>
      <c r="N87" s="943"/>
      <c r="O87" s="945"/>
      <c r="P87" s="943"/>
      <c r="Q87" s="565"/>
      <c r="R87" s="565"/>
      <c r="S87" s="332"/>
      <c r="T87" s="332"/>
      <c r="U87" s="347" t="s">
        <v>1179</v>
      </c>
      <c r="V87" s="408"/>
      <c r="W87" s="408"/>
      <c r="X87" s="408"/>
      <c r="Y87" s="332" t="str">
        <f t="shared" si="13"/>
        <v/>
      </c>
      <c r="Z87" s="408"/>
      <c r="AA87" s="332" t="str">
        <f t="shared" si="14"/>
        <v/>
      </c>
      <c r="AB87" s="332"/>
      <c r="AC87" s="332" t="str">
        <f t="shared" si="15"/>
        <v/>
      </c>
      <c r="AD87" s="332"/>
      <c r="AE87" s="332" t="str">
        <f t="shared" si="16"/>
        <v/>
      </c>
      <c r="AF87" s="332"/>
      <c r="AG87" s="332" t="str">
        <f t="shared" si="17"/>
        <v/>
      </c>
      <c r="AH87" s="332"/>
      <c r="AI87" s="332" t="str">
        <f t="shared" si="18"/>
        <v/>
      </c>
      <c r="AJ87" s="332"/>
      <c r="AK87" s="333" t="str">
        <f t="shared" si="19"/>
        <v/>
      </c>
      <c r="AL87" s="404" t="str">
        <f t="shared" si="20"/>
        <v/>
      </c>
      <c r="AM87" s="404" t="str">
        <f t="shared" si="21"/>
        <v/>
      </c>
      <c r="AN87" s="405"/>
      <c r="AO87" s="405"/>
      <c r="AP87" s="405"/>
      <c r="AQ87" s="405"/>
      <c r="AR87" s="405"/>
      <c r="AS87" s="405"/>
      <c r="AT87" s="405"/>
      <c r="AU87" s="400" t="str">
        <f>IFERROR(VLOOKUP(AT87,'Seguridad Información'!$I$61:$J$65,2,0),"")</f>
        <v/>
      </c>
      <c r="AV87" s="400"/>
      <c r="AW87" s="406" t="str">
        <f t="shared" si="12"/>
        <v/>
      </c>
      <c r="AX87" s="404" t="str">
        <f t="shared" si="22"/>
        <v/>
      </c>
      <c r="AY87" s="406" t="str">
        <f>IFERROR(VLOOKUP((CONCATENATE(AM87,AX87)),Listados!$U$3:$V$11,2,FALSE),"")</f>
        <v/>
      </c>
      <c r="AZ87" s="404">
        <f t="shared" si="23"/>
        <v>100</v>
      </c>
      <c r="BA87" s="942"/>
      <c r="BB87" s="942"/>
      <c r="BC87" s="407">
        <f>+IF(AND(W87="Preventivo",BB85="Fuerte"),2,IF(AND(W87="Preventivo",BB85="Moderado"),1,0))</f>
        <v>0</v>
      </c>
      <c r="BD87" s="407">
        <f>+IF(AND(W87="Detectivo/Correctivo",$BB85="Fuerte"),2,IF(AND(W87="Detectivo/Correctivo",$BB87="Moderado"),1,IF(AND(W87="Preventivo",$BB85="Fuerte"),1,0)))</f>
        <v>0</v>
      </c>
      <c r="BE87" s="407" t="e">
        <f>+N85-BC87</f>
        <v>#N/A</v>
      </c>
      <c r="BF87" s="407" t="e">
        <f>+P85-BD87</f>
        <v>#N/A</v>
      </c>
      <c r="BG87" s="565"/>
      <c r="BH87" s="565"/>
      <c r="BI87" s="565"/>
      <c r="BJ87" s="573"/>
      <c r="BK87" s="573"/>
      <c r="BL87" s="573"/>
      <c r="BM87" s="939"/>
    </row>
    <row r="88" spans="1:65" ht="65.099999999999994" customHeight="1">
      <c r="A88" s="953"/>
      <c r="B88" s="949"/>
      <c r="C88" s="686"/>
      <c r="D88" s="401"/>
      <c r="E88" s="401"/>
      <c r="F88" s="948"/>
      <c r="G88" s="947"/>
      <c r="H88" s="375"/>
      <c r="I88" s="375"/>
      <c r="J88" s="375"/>
      <c r="K88" s="402"/>
      <c r="L88" s="403"/>
      <c r="M88" s="689"/>
      <c r="N88" s="943"/>
      <c r="O88" s="945"/>
      <c r="P88" s="943"/>
      <c r="Q88" s="565"/>
      <c r="R88" s="565"/>
      <c r="S88" s="332"/>
      <c r="T88" s="332"/>
      <c r="U88" s="347" t="s">
        <v>1179</v>
      </c>
      <c r="V88" s="408"/>
      <c r="W88" s="408"/>
      <c r="X88" s="408"/>
      <c r="Y88" s="332" t="str">
        <f t="shared" si="13"/>
        <v/>
      </c>
      <c r="Z88" s="408"/>
      <c r="AA88" s="332" t="str">
        <f t="shared" si="14"/>
        <v/>
      </c>
      <c r="AB88" s="332"/>
      <c r="AC88" s="332" t="str">
        <f t="shared" si="15"/>
        <v/>
      </c>
      <c r="AD88" s="332"/>
      <c r="AE88" s="332" t="str">
        <f t="shared" si="16"/>
        <v/>
      </c>
      <c r="AF88" s="332"/>
      <c r="AG88" s="332" t="str">
        <f t="shared" si="17"/>
        <v/>
      </c>
      <c r="AH88" s="332"/>
      <c r="AI88" s="332" t="str">
        <f t="shared" si="18"/>
        <v/>
      </c>
      <c r="AJ88" s="332"/>
      <c r="AK88" s="333" t="str">
        <f t="shared" si="19"/>
        <v/>
      </c>
      <c r="AL88" s="404" t="str">
        <f t="shared" si="20"/>
        <v/>
      </c>
      <c r="AM88" s="404" t="str">
        <f t="shared" si="21"/>
        <v/>
      </c>
      <c r="AN88" s="405"/>
      <c r="AO88" s="405"/>
      <c r="AP88" s="405"/>
      <c r="AQ88" s="405"/>
      <c r="AR88" s="405"/>
      <c r="AS88" s="405"/>
      <c r="AT88" s="405"/>
      <c r="AU88" s="400" t="str">
        <f>IFERROR(VLOOKUP(AT88,'Seguridad Información'!$I$61:$J$65,2,0),"")</f>
        <v/>
      </c>
      <c r="AV88" s="400"/>
      <c r="AW88" s="406" t="str">
        <f t="shared" si="12"/>
        <v/>
      </c>
      <c r="AX88" s="404" t="str">
        <f t="shared" si="22"/>
        <v/>
      </c>
      <c r="AY88" s="406" t="str">
        <f>IFERROR(VLOOKUP((CONCATENATE(AM88,AX88)),Listados!$U$3:$V$11,2,FALSE),"")</f>
        <v/>
      </c>
      <c r="AZ88" s="404">
        <f t="shared" si="23"/>
        <v>100</v>
      </c>
      <c r="BA88" s="942"/>
      <c r="BB88" s="942"/>
      <c r="BC88" s="407">
        <f>+IF(AND(W88="Preventivo",BB85="Fuerte"),2,IF(AND(W88="Preventivo",BB85="Moderado"),1,0))</f>
        <v>0</v>
      </c>
      <c r="BD88" s="407">
        <f>+IF(AND(W88="Detectivo/Correctivo",$BB85="Fuerte"),2,IF(AND(W88="Detectivo/Correctivo",$BB88="Moderado"),1,IF(AND(W88="Preventivo",$BB85="Fuerte"),1,0)))</f>
        <v>0</v>
      </c>
      <c r="BE88" s="407" t="e">
        <f>+N85-BC88</f>
        <v>#N/A</v>
      </c>
      <c r="BF88" s="407" t="e">
        <f>+P85-BD88</f>
        <v>#N/A</v>
      </c>
      <c r="BG88" s="565"/>
      <c r="BH88" s="565"/>
      <c r="BI88" s="565"/>
      <c r="BJ88" s="573"/>
      <c r="BK88" s="573"/>
      <c r="BL88" s="573"/>
      <c r="BM88" s="939"/>
    </row>
    <row r="89" spans="1:65" ht="65.099999999999994" customHeight="1">
      <c r="A89" s="953"/>
      <c r="B89" s="949"/>
      <c r="C89" s="686"/>
      <c r="D89" s="401"/>
      <c r="E89" s="401"/>
      <c r="F89" s="948"/>
      <c r="G89" s="947"/>
      <c r="H89" s="375"/>
      <c r="I89" s="375"/>
      <c r="J89" s="375"/>
      <c r="K89" s="402"/>
      <c r="L89" s="403"/>
      <c r="M89" s="689"/>
      <c r="N89" s="943"/>
      <c r="O89" s="945"/>
      <c r="P89" s="943"/>
      <c r="Q89" s="565"/>
      <c r="R89" s="565"/>
      <c r="S89" s="332"/>
      <c r="T89" s="332"/>
      <c r="U89" s="347" t="s">
        <v>1179</v>
      </c>
      <c r="V89" s="408"/>
      <c r="W89" s="408"/>
      <c r="X89" s="408"/>
      <c r="Y89" s="332" t="str">
        <f t="shared" si="13"/>
        <v/>
      </c>
      <c r="Z89" s="408"/>
      <c r="AA89" s="332" t="str">
        <f t="shared" si="14"/>
        <v/>
      </c>
      <c r="AB89" s="332"/>
      <c r="AC89" s="332" t="str">
        <f t="shared" si="15"/>
        <v/>
      </c>
      <c r="AD89" s="332"/>
      <c r="AE89" s="332" t="str">
        <f t="shared" si="16"/>
        <v/>
      </c>
      <c r="AF89" s="332"/>
      <c r="AG89" s="332" t="str">
        <f t="shared" si="17"/>
        <v/>
      </c>
      <c r="AH89" s="332"/>
      <c r="AI89" s="332" t="str">
        <f t="shared" si="18"/>
        <v/>
      </c>
      <c r="AJ89" s="332"/>
      <c r="AK89" s="333" t="str">
        <f t="shared" si="19"/>
        <v/>
      </c>
      <c r="AL89" s="404" t="str">
        <f t="shared" si="20"/>
        <v/>
      </c>
      <c r="AM89" s="404" t="str">
        <f t="shared" si="21"/>
        <v/>
      </c>
      <c r="AN89" s="405"/>
      <c r="AO89" s="405"/>
      <c r="AP89" s="405"/>
      <c r="AQ89" s="405"/>
      <c r="AR89" s="405"/>
      <c r="AS89" s="405"/>
      <c r="AT89" s="405"/>
      <c r="AU89" s="400" t="str">
        <f>IFERROR(VLOOKUP(AT89,'Seguridad Información'!$I$61:$J$65,2,0),"")</f>
        <v/>
      </c>
      <c r="AV89" s="400"/>
      <c r="AW89" s="406" t="str">
        <f t="shared" si="12"/>
        <v/>
      </c>
      <c r="AX89" s="404" t="str">
        <f t="shared" si="22"/>
        <v/>
      </c>
      <c r="AY89" s="406" t="str">
        <f>IFERROR(VLOOKUP((CONCATENATE(AM89,AX89)),Listados!$U$3:$V$11,2,FALSE),"")</f>
        <v/>
      </c>
      <c r="AZ89" s="404">
        <f t="shared" si="23"/>
        <v>100</v>
      </c>
      <c r="BA89" s="942"/>
      <c r="BB89" s="942"/>
      <c r="BC89" s="407">
        <f>+IF(AND(W89="Preventivo",BB85="Fuerte"),2,IF(AND(W89="Preventivo",BB85="Moderado"),1,0))</f>
        <v>0</v>
      </c>
      <c r="BD89" s="407">
        <f>+IF(AND(W89="Detectivo/Correctivo",$BB85="Fuerte"),2,IF(AND(W89="Detectivo/Correctivo",$BB89="Moderado"),1,IF(AND(W89="Preventivo",$BB85="Fuerte"),1,0)))</f>
        <v>0</v>
      </c>
      <c r="BE89" s="407" t="e">
        <f>+N85-BC89</f>
        <v>#N/A</v>
      </c>
      <c r="BF89" s="407" t="e">
        <f>+P85-BD89</f>
        <v>#N/A</v>
      </c>
      <c r="BG89" s="565"/>
      <c r="BH89" s="565"/>
      <c r="BI89" s="565"/>
      <c r="BJ89" s="573"/>
      <c r="BK89" s="573"/>
      <c r="BL89" s="573"/>
      <c r="BM89" s="939"/>
    </row>
    <row r="90" spans="1:65" ht="65.099999999999994" customHeight="1">
      <c r="A90" s="953"/>
      <c r="B90" s="949"/>
      <c r="C90" s="686"/>
      <c r="D90" s="401"/>
      <c r="E90" s="401"/>
      <c r="F90" s="948"/>
      <c r="G90" s="947"/>
      <c r="H90" s="375"/>
      <c r="I90" s="375"/>
      <c r="J90" s="375"/>
      <c r="K90" s="402"/>
      <c r="L90" s="403"/>
      <c r="M90" s="689"/>
      <c r="N90" s="943"/>
      <c r="O90" s="945"/>
      <c r="P90" s="943"/>
      <c r="Q90" s="565"/>
      <c r="R90" s="565"/>
      <c r="S90" s="332"/>
      <c r="T90" s="332"/>
      <c r="U90" s="347" t="s">
        <v>1179</v>
      </c>
      <c r="V90" s="408"/>
      <c r="W90" s="408"/>
      <c r="X90" s="408"/>
      <c r="Y90" s="332" t="str">
        <f t="shared" si="13"/>
        <v/>
      </c>
      <c r="Z90" s="408"/>
      <c r="AA90" s="332" t="str">
        <f t="shared" si="14"/>
        <v/>
      </c>
      <c r="AB90" s="332"/>
      <c r="AC90" s="332" t="str">
        <f t="shared" si="15"/>
        <v/>
      </c>
      <c r="AD90" s="332"/>
      <c r="AE90" s="332" t="str">
        <f t="shared" si="16"/>
        <v/>
      </c>
      <c r="AF90" s="332"/>
      <c r="AG90" s="332" t="str">
        <f t="shared" si="17"/>
        <v/>
      </c>
      <c r="AH90" s="332"/>
      <c r="AI90" s="332" t="str">
        <f t="shared" si="18"/>
        <v/>
      </c>
      <c r="AJ90" s="332"/>
      <c r="AK90" s="333" t="str">
        <f t="shared" si="19"/>
        <v/>
      </c>
      <c r="AL90" s="404" t="str">
        <f t="shared" si="20"/>
        <v/>
      </c>
      <c r="AM90" s="404" t="str">
        <f t="shared" si="21"/>
        <v/>
      </c>
      <c r="AN90" s="405"/>
      <c r="AO90" s="405"/>
      <c r="AP90" s="405"/>
      <c r="AQ90" s="405"/>
      <c r="AR90" s="405"/>
      <c r="AS90" s="405"/>
      <c r="AT90" s="405"/>
      <c r="AU90" s="400" t="str">
        <f>IFERROR(VLOOKUP(AT90,'Seguridad Información'!$I$61:$J$65,2,0),"")</f>
        <v/>
      </c>
      <c r="AV90" s="400"/>
      <c r="AW90" s="406" t="str">
        <f t="shared" si="12"/>
        <v/>
      </c>
      <c r="AX90" s="404" t="str">
        <f t="shared" si="22"/>
        <v/>
      </c>
      <c r="AY90" s="406" t="str">
        <f>IFERROR(VLOOKUP((CONCATENATE(AM90,AX90)),Listados!$U$3:$V$11,2,FALSE),"")</f>
        <v/>
      </c>
      <c r="AZ90" s="404">
        <f t="shared" si="23"/>
        <v>100</v>
      </c>
      <c r="BA90" s="942"/>
      <c r="BB90" s="942"/>
      <c r="BC90" s="407">
        <f>+IF(AND(W90="Preventivo",BB85="Fuerte"),2,IF(AND(W90="Preventivo",BB85="Moderado"),1,0))</f>
        <v>0</v>
      </c>
      <c r="BD90" s="407">
        <f>+IF(AND(W90="Detectivo/Correctivo",$BB85="Fuerte"),2,IF(AND(W90="Detectivo/Correctivo",$BB90="Moderado"),1,IF(AND(W90="Preventivo",$BB85="Fuerte"),1,0)))</f>
        <v>0</v>
      </c>
      <c r="BE90" s="407" t="e">
        <f>+N85-BC90</f>
        <v>#N/A</v>
      </c>
      <c r="BF90" s="407" t="e">
        <f>+P85-BD90</f>
        <v>#N/A</v>
      </c>
      <c r="BG90" s="565"/>
      <c r="BH90" s="565"/>
      <c r="BI90" s="565"/>
      <c r="BJ90" s="573"/>
      <c r="BK90" s="573"/>
      <c r="BL90" s="573"/>
      <c r="BM90" s="939"/>
    </row>
    <row r="91" spans="1:65" ht="65.099999999999994" customHeight="1">
      <c r="A91" s="953">
        <v>15</v>
      </c>
      <c r="B91" s="949"/>
      <c r="C91" s="686" t="str">
        <f>IFERROR(VLOOKUP(B91,Listados!B$3:C$20,2,FALSE),"")</f>
        <v/>
      </c>
      <c r="D91" s="401"/>
      <c r="E91" s="401"/>
      <c r="F91" s="948"/>
      <c r="G91" s="947"/>
      <c r="H91" s="375"/>
      <c r="I91" s="375"/>
      <c r="J91" s="375"/>
      <c r="K91" s="402"/>
      <c r="L91" s="403"/>
      <c r="M91" s="689"/>
      <c r="N91" s="943" t="e">
        <f>+VLOOKUP(M91,Listados!$K$8:$L$12,2,0)</f>
        <v>#N/A</v>
      </c>
      <c r="O91" s="945"/>
      <c r="P91" s="943" t="e">
        <f>+VLOOKUP(O91,Listados!$K$13:$L$17,2,0)</f>
        <v>#N/A</v>
      </c>
      <c r="Q91" s="565" t="str">
        <f>IF(AND(M91&lt;&gt;"",O91&lt;&gt;""),VLOOKUP(M91&amp;O91,Listados!$M$3:$N$27,2,FALSE),"")</f>
        <v/>
      </c>
      <c r="R91" s="565" t="e">
        <f>+VLOOKUP(Q91,Listados!$P$3:$Q$6,2,FALSE)</f>
        <v>#N/A</v>
      </c>
      <c r="S91" s="332"/>
      <c r="T91" s="332"/>
      <c r="U91" s="347" t="s">
        <v>1179</v>
      </c>
      <c r="V91" s="408"/>
      <c r="W91" s="408"/>
      <c r="X91" s="408"/>
      <c r="Y91" s="332" t="str">
        <f t="shared" si="13"/>
        <v/>
      </c>
      <c r="Z91" s="408"/>
      <c r="AA91" s="332" t="str">
        <f t="shared" si="14"/>
        <v/>
      </c>
      <c r="AB91" s="332"/>
      <c r="AC91" s="332" t="str">
        <f t="shared" si="15"/>
        <v/>
      </c>
      <c r="AD91" s="332"/>
      <c r="AE91" s="332" t="str">
        <f t="shared" si="16"/>
        <v/>
      </c>
      <c r="AF91" s="332"/>
      <c r="AG91" s="332" t="str">
        <f t="shared" si="17"/>
        <v/>
      </c>
      <c r="AH91" s="332"/>
      <c r="AI91" s="332" t="str">
        <f t="shared" si="18"/>
        <v/>
      </c>
      <c r="AJ91" s="332"/>
      <c r="AK91" s="333" t="str">
        <f t="shared" si="19"/>
        <v/>
      </c>
      <c r="AL91" s="404" t="str">
        <f t="shared" si="20"/>
        <v/>
      </c>
      <c r="AM91" s="404" t="str">
        <f t="shared" si="21"/>
        <v/>
      </c>
      <c r="AN91" s="405"/>
      <c r="AO91" s="405"/>
      <c r="AP91" s="405"/>
      <c r="AQ91" s="405"/>
      <c r="AR91" s="405"/>
      <c r="AS91" s="405"/>
      <c r="AT91" s="405"/>
      <c r="AU91" s="400" t="str">
        <f>IFERROR(VLOOKUP(AT91,'Seguridad Información'!$I$61:$J$65,2,0),"")</f>
        <v/>
      </c>
      <c r="AV91" s="400"/>
      <c r="AW91" s="406" t="str">
        <f t="shared" si="12"/>
        <v/>
      </c>
      <c r="AX91" s="404" t="str">
        <f t="shared" si="22"/>
        <v/>
      </c>
      <c r="AY91" s="406" t="str">
        <f>IFERROR(VLOOKUP((CONCATENATE(AM91,AX91)),Listados!$U$3:$V$11,2,FALSE),"")</f>
        <v/>
      </c>
      <c r="AZ91" s="404">
        <f t="shared" si="23"/>
        <v>100</v>
      </c>
      <c r="BA91" s="942">
        <f>AVERAGE(AZ91:AZ96)</f>
        <v>100</v>
      </c>
      <c r="BB91" s="942" t="str">
        <f>IF(BA91&lt;=50, "Débil", IF(BA91&lt;=99,"Moderado","Fuerte"))</f>
        <v>Fuerte</v>
      </c>
      <c r="BC91" s="407">
        <f>+IF(AND(W91="Preventivo",BB91="Fuerte"),2,IF(AND(W91="Preventivo",BB91="Moderado"),1,0))</f>
        <v>0</v>
      </c>
      <c r="BD91" s="407">
        <f>+IF(AND(W91="Detectivo/Correctivo",$BB91="Fuerte"),2,IF(AND(W91="Detectivo/Correctivo",$BB91="Moderado"),1,IF(AND(W91="Preventivo",$BB91="Fuerte"),1,0)))</f>
        <v>0</v>
      </c>
      <c r="BE91" s="407" t="e">
        <f>+N91-BC91</f>
        <v>#N/A</v>
      </c>
      <c r="BF91" s="407" t="e">
        <f>+P91-BD91</f>
        <v>#N/A</v>
      </c>
      <c r="BG91" s="565" t="e">
        <f>+VLOOKUP(MIN(BE91,BE92,BE93,BE94,BE95,BE96),Listados!$J$18:$K$24,2,TRUE)</f>
        <v>#N/A</v>
      </c>
      <c r="BH91" s="565" t="e">
        <f>+VLOOKUP(MIN(BF91,BF92,BF93,BF94,BF95,BF96),Listados!$J$27:$K$32,2,TRUE)</f>
        <v>#N/A</v>
      </c>
      <c r="BI91" s="565" t="e">
        <f>IF(AND(BG91&lt;&gt;"",BH91&lt;&gt;""),VLOOKUP(BG91&amp;BH91,Listados!$M$3:$N$27,2,FALSE),"")</f>
        <v>#N/A</v>
      </c>
      <c r="BJ91" s="573" t="e">
        <f>+IF($R91="Asumir el riesgo","NA","")</f>
        <v>#N/A</v>
      </c>
      <c r="BK91" s="573" t="e">
        <f>+IF($R91="Asumir el riesgo","NA","")</f>
        <v>#N/A</v>
      </c>
      <c r="BL91" s="573" t="e">
        <f>+IF($R91="Asumir el riesgo","NA","")</f>
        <v>#N/A</v>
      </c>
      <c r="BM91" s="939" t="e">
        <f>+IF($R91="Asumir el riesgo","NA","")</f>
        <v>#N/A</v>
      </c>
    </row>
    <row r="92" spans="1:65" ht="65.099999999999994" customHeight="1">
      <c r="A92" s="953"/>
      <c r="B92" s="949"/>
      <c r="C92" s="686"/>
      <c r="D92" s="401"/>
      <c r="E92" s="401"/>
      <c r="F92" s="948"/>
      <c r="G92" s="947"/>
      <c r="H92" s="375"/>
      <c r="I92" s="375"/>
      <c r="J92" s="375"/>
      <c r="K92" s="402"/>
      <c r="L92" s="403"/>
      <c r="M92" s="689"/>
      <c r="N92" s="943"/>
      <c r="O92" s="945"/>
      <c r="P92" s="943"/>
      <c r="Q92" s="565"/>
      <c r="R92" s="565"/>
      <c r="S92" s="332"/>
      <c r="T92" s="332"/>
      <c r="U92" s="347" t="s">
        <v>1179</v>
      </c>
      <c r="V92" s="408"/>
      <c r="W92" s="408"/>
      <c r="X92" s="408"/>
      <c r="Y92" s="332" t="str">
        <f t="shared" si="13"/>
        <v/>
      </c>
      <c r="Z92" s="408"/>
      <c r="AA92" s="332" t="str">
        <f t="shared" si="14"/>
        <v/>
      </c>
      <c r="AB92" s="332"/>
      <c r="AC92" s="332" t="str">
        <f t="shared" si="15"/>
        <v/>
      </c>
      <c r="AD92" s="332"/>
      <c r="AE92" s="332" t="str">
        <f t="shared" si="16"/>
        <v/>
      </c>
      <c r="AF92" s="332"/>
      <c r="AG92" s="332" t="str">
        <f t="shared" si="17"/>
        <v/>
      </c>
      <c r="AH92" s="332"/>
      <c r="AI92" s="332" t="str">
        <f t="shared" si="18"/>
        <v/>
      </c>
      <c r="AJ92" s="332"/>
      <c r="AK92" s="333" t="str">
        <f t="shared" si="19"/>
        <v/>
      </c>
      <c r="AL92" s="404" t="str">
        <f t="shared" si="20"/>
        <v/>
      </c>
      <c r="AM92" s="404" t="str">
        <f t="shared" si="21"/>
        <v/>
      </c>
      <c r="AN92" s="405"/>
      <c r="AO92" s="405"/>
      <c r="AP92" s="405"/>
      <c r="AQ92" s="405"/>
      <c r="AR92" s="405"/>
      <c r="AS92" s="405"/>
      <c r="AT92" s="405"/>
      <c r="AU92" s="400" t="str">
        <f>IFERROR(VLOOKUP(AT92,'Seguridad Información'!$I$61:$J$65,2,0),"")</f>
        <v/>
      </c>
      <c r="AV92" s="400"/>
      <c r="AW92" s="406" t="str">
        <f t="shared" si="12"/>
        <v/>
      </c>
      <c r="AX92" s="404" t="str">
        <f t="shared" si="22"/>
        <v/>
      </c>
      <c r="AY92" s="406" t="str">
        <f>IFERROR(VLOOKUP((CONCATENATE(AM92,AX92)),Listados!$U$3:$V$11,2,FALSE),"")</f>
        <v/>
      </c>
      <c r="AZ92" s="404">
        <f t="shared" si="23"/>
        <v>100</v>
      </c>
      <c r="BA92" s="942"/>
      <c r="BB92" s="942"/>
      <c r="BC92" s="407">
        <f>+IF(AND(W92="Preventivo",BB91="Fuerte"),2,IF(AND(W92="Preventivo",BB91="Moderado"),1,0))</f>
        <v>0</v>
      </c>
      <c r="BD92" s="407">
        <f>+IF(AND(W92="Detectivo/Correctivo",$BB91="Fuerte"),2,IF(AND(W92="Detectivo/Correctivo",$BB92="Moderado"),1,IF(AND(W92="Preventivo",$BB91="Fuerte"),1,0)))</f>
        <v>0</v>
      </c>
      <c r="BE92" s="407" t="e">
        <f>+N91-BC92</f>
        <v>#N/A</v>
      </c>
      <c r="BF92" s="407" t="e">
        <f>+P91-BD92</f>
        <v>#N/A</v>
      </c>
      <c r="BG92" s="565"/>
      <c r="BH92" s="565"/>
      <c r="BI92" s="565"/>
      <c r="BJ92" s="573"/>
      <c r="BK92" s="573"/>
      <c r="BL92" s="573"/>
      <c r="BM92" s="939"/>
    </row>
    <row r="93" spans="1:65" ht="65.099999999999994" customHeight="1">
      <c r="A93" s="953"/>
      <c r="B93" s="949"/>
      <c r="C93" s="686"/>
      <c r="D93" s="401"/>
      <c r="E93" s="401"/>
      <c r="F93" s="948"/>
      <c r="G93" s="947"/>
      <c r="H93" s="375"/>
      <c r="I93" s="375"/>
      <c r="J93" s="375"/>
      <c r="K93" s="402"/>
      <c r="L93" s="403"/>
      <c r="M93" s="689"/>
      <c r="N93" s="943"/>
      <c r="O93" s="945"/>
      <c r="P93" s="943"/>
      <c r="Q93" s="565"/>
      <c r="R93" s="565"/>
      <c r="S93" s="332"/>
      <c r="T93" s="332"/>
      <c r="U93" s="347" t="s">
        <v>1179</v>
      </c>
      <c r="V93" s="408"/>
      <c r="W93" s="408"/>
      <c r="X93" s="408"/>
      <c r="Y93" s="332" t="str">
        <f t="shared" si="13"/>
        <v/>
      </c>
      <c r="Z93" s="408"/>
      <c r="AA93" s="332" t="str">
        <f t="shared" si="14"/>
        <v/>
      </c>
      <c r="AB93" s="332"/>
      <c r="AC93" s="332" t="str">
        <f t="shared" si="15"/>
        <v/>
      </c>
      <c r="AD93" s="332"/>
      <c r="AE93" s="332" t="str">
        <f t="shared" si="16"/>
        <v/>
      </c>
      <c r="AF93" s="332"/>
      <c r="AG93" s="332" t="str">
        <f t="shared" si="17"/>
        <v/>
      </c>
      <c r="AH93" s="332"/>
      <c r="AI93" s="332" t="str">
        <f t="shared" si="18"/>
        <v/>
      </c>
      <c r="AJ93" s="332"/>
      <c r="AK93" s="333" t="str">
        <f t="shared" si="19"/>
        <v/>
      </c>
      <c r="AL93" s="404" t="str">
        <f t="shared" si="20"/>
        <v/>
      </c>
      <c r="AM93" s="404" t="str">
        <f t="shared" si="21"/>
        <v/>
      </c>
      <c r="AN93" s="405"/>
      <c r="AO93" s="405"/>
      <c r="AP93" s="405"/>
      <c r="AQ93" s="405"/>
      <c r="AR93" s="405"/>
      <c r="AS93" s="405"/>
      <c r="AT93" s="405"/>
      <c r="AU93" s="400" t="str">
        <f>IFERROR(VLOOKUP(AT93,'Seguridad Información'!$I$61:$J$65,2,0),"")</f>
        <v/>
      </c>
      <c r="AV93" s="400"/>
      <c r="AW93" s="406" t="str">
        <f t="shared" si="12"/>
        <v/>
      </c>
      <c r="AX93" s="404" t="str">
        <f t="shared" si="22"/>
        <v/>
      </c>
      <c r="AY93" s="406" t="str">
        <f>IFERROR(VLOOKUP((CONCATENATE(AM93,AX93)),Listados!$U$3:$V$11,2,FALSE),"")</f>
        <v/>
      </c>
      <c r="AZ93" s="404">
        <f t="shared" si="23"/>
        <v>100</v>
      </c>
      <c r="BA93" s="942"/>
      <c r="BB93" s="942"/>
      <c r="BC93" s="407">
        <f>+IF(AND(W93="Preventivo",BB91="Fuerte"),2,IF(AND(W93="Preventivo",BB91="Moderado"),1,0))</f>
        <v>0</v>
      </c>
      <c r="BD93" s="407">
        <f>+IF(AND(W93="Detectivo/Correctivo",$BB91="Fuerte"),2,IF(AND(W93="Detectivo/Correctivo",$BB93="Moderado"),1,IF(AND(W93="Preventivo",$BB91="Fuerte"),1,0)))</f>
        <v>0</v>
      </c>
      <c r="BE93" s="407" t="e">
        <f>+N91-BC93</f>
        <v>#N/A</v>
      </c>
      <c r="BF93" s="407" t="e">
        <f>+P91-BD93</f>
        <v>#N/A</v>
      </c>
      <c r="BG93" s="565"/>
      <c r="BH93" s="565"/>
      <c r="BI93" s="565"/>
      <c r="BJ93" s="573"/>
      <c r="BK93" s="573"/>
      <c r="BL93" s="573"/>
      <c r="BM93" s="939"/>
    </row>
    <row r="94" spans="1:65" ht="65.099999999999994" customHeight="1">
      <c r="A94" s="953"/>
      <c r="B94" s="949"/>
      <c r="C94" s="686"/>
      <c r="D94" s="401"/>
      <c r="E94" s="401"/>
      <c r="F94" s="948"/>
      <c r="G94" s="947"/>
      <c r="H94" s="375"/>
      <c r="I94" s="375"/>
      <c r="J94" s="375"/>
      <c r="K94" s="402"/>
      <c r="L94" s="403"/>
      <c r="M94" s="689"/>
      <c r="N94" s="943"/>
      <c r="O94" s="945"/>
      <c r="P94" s="943"/>
      <c r="Q94" s="565"/>
      <c r="R94" s="565"/>
      <c r="S94" s="332"/>
      <c r="T94" s="332"/>
      <c r="U94" s="347" t="s">
        <v>1179</v>
      </c>
      <c r="V94" s="408"/>
      <c r="W94" s="408"/>
      <c r="X94" s="408"/>
      <c r="Y94" s="332" t="str">
        <f t="shared" si="13"/>
        <v/>
      </c>
      <c r="Z94" s="408"/>
      <c r="AA94" s="332" t="str">
        <f t="shared" si="14"/>
        <v/>
      </c>
      <c r="AB94" s="332"/>
      <c r="AC94" s="332" t="str">
        <f t="shared" si="15"/>
        <v/>
      </c>
      <c r="AD94" s="332"/>
      <c r="AE94" s="332" t="str">
        <f t="shared" si="16"/>
        <v/>
      </c>
      <c r="AF94" s="332"/>
      <c r="AG94" s="332" t="str">
        <f t="shared" si="17"/>
        <v/>
      </c>
      <c r="AH94" s="332"/>
      <c r="AI94" s="332" t="str">
        <f t="shared" si="18"/>
        <v/>
      </c>
      <c r="AJ94" s="332"/>
      <c r="AK94" s="333" t="str">
        <f t="shared" si="19"/>
        <v/>
      </c>
      <c r="AL94" s="404" t="str">
        <f t="shared" si="20"/>
        <v/>
      </c>
      <c r="AM94" s="404" t="str">
        <f t="shared" si="21"/>
        <v/>
      </c>
      <c r="AN94" s="405"/>
      <c r="AO94" s="405"/>
      <c r="AP94" s="405"/>
      <c r="AQ94" s="405"/>
      <c r="AR94" s="405"/>
      <c r="AS94" s="405"/>
      <c r="AT94" s="405"/>
      <c r="AU94" s="400" t="str">
        <f>IFERROR(VLOOKUP(AT94,'Seguridad Información'!$I$61:$J$65,2,0),"")</f>
        <v/>
      </c>
      <c r="AV94" s="400"/>
      <c r="AW94" s="406" t="str">
        <f t="shared" si="12"/>
        <v/>
      </c>
      <c r="AX94" s="404" t="str">
        <f t="shared" si="22"/>
        <v/>
      </c>
      <c r="AY94" s="406" t="str">
        <f>IFERROR(VLOOKUP((CONCATENATE(AM94,AX94)),Listados!$U$3:$V$11,2,FALSE),"")</f>
        <v/>
      </c>
      <c r="AZ94" s="404">
        <f t="shared" si="23"/>
        <v>100</v>
      </c>
      <c r="BA94" s="942"/>
      <c r="BB94" s="942"/>
      <c r="BC94" s="407">
        <f>+IF(AND(W94="Preventivo",BB91="Fuerte"),2,IF(AND(W94="Preventivo",BB91="Moderado"),1,0))</f>
        <v>0</v>
      </c>
      <c r="BD94" s="407">
        <f>+IF(AND(W94="Detectivo/Correctivo",$BB91="Fuerte"),2,IF(AND(W94="Detectivo/Correctivo",$BB94="Moderado"),1,IF(AND(W94="Preventivo",$BB91="Fuerte"),1,0)))</f>
        <v>0</v>
      </c>
      <c r="BE94" s="407" t="e">
        <f>+N91-BC94</f>
        <v>#N/A</v>
      </c>
      <c r="BF94" s="407" t="e">
        <f>+P91-BD94</f>
        <v>#N/A</v>
      </c>
      <c r="BG94" s="565"/>
      <c r="BH94" s="565"/>
      <c r="BI94" s="565"/>
      <c r="BJ94" s="573"/>
      <c r="BK94" s="573"/>
      <c r="BL94" s="573"/>
      <c r="BM94" s="939"/>
    </row>
    <row r="95" spans="1:65" ht="65.099999999999994" customHeight="1">
      <c r="A95" s="953"/>
      <c r="B95" s="949"/>
      <c r="C95" s="686"/>
      <c r="D95" s="401"/>
      <c r="E95" s="401"/>
      <c r="F95" s="948"/>
      <c r="G95" s="947"/>
      <c r="H95" s="375"/>
      <c r="I95" s="375"/>
      <c r="J95" s="375"/>
      <c r="K95" s="402"/>
      <c r="L95" s="403"/>
      <c r="M95" s="689"/>
      <c r="N95" s="943"/>
      <c r="O95" s="945"/>
      <c r="P95" s="943"/>
      <c r="Q95" s="565"/>
      <c r="R95" s="565"/>
      <c r="S95" s="332"/>
      <c r="T95" s="332"/>
      <c r="U95" s="347" t="s">
        <v>1179</v>
      </c>
      <c r="V95" s="408"/>
      <c r="W95" s="408"/>
      <c r="X95" s="408"/>
      <c r="Y95" s="332" t="str">
        <f t="shared" si="13"/>
        <v/>
      </c>
      <c r="Z95" s="408"/>
      <c r="AA95" s="332" t="str">
        <f t="shared" si="14"/>
        <v/>
      </c>
      <c r="AB95" s="332"/>
      <c r="AC95" s="332" t="str">
        <f t="shared" si="15"/>
        <v/>
      </c>
      <c r="AD95" s="332"/>
      <c r="AE95" s="332" t="str">
        <f t="shared" si="16"/>
        <v/>
      </c>
      <c r="AF95" s="332"/>
      <c r="AG95" s="332" t="str">
        <f t="shared" si="17"/>
        <v/>
      </c>
      <c r="AH95" s="332"/>
      <c r="AI95" s="332" t="str">
        <f t="shared" si="18"/>
        <v/>
      </c>
      <c r="AJ95" s="332"/>
      <c r="AK95" s="333" t="str">
        <f t="shared" si="19"/>
        <v/>
      </c>
      <c r="AL95" s="404" t="str">
        <f t="shared" si="20"/>
        <v/>
      </c>
      <c r="AM95" s="404" t="str">
        <f t="shared" si="21"/>
        <v/>
      </c>
      <c r="AN95" s="405"/>
      <c r="AO95" s="405"/>
      <c r="AP95" s="405"/>
      <c r="AQ95" s="405"/>
      <c r="AR95" s="405"/>
      <c r="AS95" s="405"/>
      <c r="AT95" s="405"/>
      <c r="AU95" s="400" t="str">
        <f>IFERROR(VLOOKUP(AT95,'Seguridad Información'!$I$61:$J$65,2,0),"")</f>
        <v/>
      </c>
      <c r="AV95" s="400"/>
      <c r="AW95" s="406" t="str">
        <f t="shared" si="12"/>
        <v/>
      </c>
      <c r="AX95" s="404" t="str">
        <f t="shared" si="22"/>
        <v/>
      </c>
      <c r="AY95" s="406" t="str">
        <f>IFERROR(VLOOKUP((CONCATENATE(AM95,AX95)),Listados!$U$3:$V$11,2,FALSE),"")</f>
        <v/>
      </c>
      <c r="AZ95" s="404">
        <f t="shared" si="23"/>
        <v>100</v>
      </c>
      <c r="BA95" s="942"/>
      <c r="BB95" s="942"/>
      <c r="BC95" s="407">
        <f>+IF(AND(W95="Preventivo",BB91="Fuerte"),2,IF(AND(W95="Preventivo",BB91="Moderado"),1,0))</f>
        <v>0</v>
      </c>
      <c r="BD95" s="407">
        <f>+IF(AND(W95="Detectivo/Correctivo",$BB91="Fuerte"),2,IF(AND(W95="Detectivo/Correctivo",$BB95="Moderado"),1,IF(AND(W95="Preventivo",$BB91="Fuerte"),1,0)))</f>
        <v>0</v>
      </c>
      <c r="BE95" s="407" t="e">
        <f>+N91-BC95</f>
        <v>#N/A</v>
      </c>
      <c r="BF95" s="407" t="e">
        <f>+P91-BD95</f>
        <v>#N/A</v>
      </c>
      <c r="BG95" s="565"/>
      <c r="BH95" s="565"/>
      <c r="BI95" s="565"/>
      <c r="BJ95" s="573"/>
      <c r="BK95" s="573"/>
      <c r="BL95" s="573"/>
      <c r="BM95" s="939"/>
    </row>
    <row r="96" spans="1:65" ht="65.099999999999994" customHeight="1">
      <c r="A96" s="953"/>
      <c r="B96" s="949"/>
      <c r="C96" s="686"/>
      <c r="D96" s="401"/>
      <c r="E96" s="401"/>
      <c r="F96" s="948"/>
      <c r="G96" s="947"/>
      <c r="H96" s="375"/>
      <c r="I96" s="375"/>
      <c r="J96" s="375"/>
      <c r="K96" s="402"/>
      <c r="L96" s="403"/>
      <c r="M96" s="689"/>
      <c r="N96" s="943"/>
      <c r="O96" s="945"/>
      <c r="P96" s="943"/>
      <c r="Q96" s="565"/>
      <c r="R96" s="565"/>
      <c r="S96" s="332"/>
      <c r="T96" s="332"/>
      <c r="U96" s="347" t="s">
        <v>1179</v>
      </c>
      <c r="V96" s="408"/>
      <c r="W96" s="408"/>
      <c r="X96" s="408"/>
      <c r="Y96" s="332" t="str">
        <f t="shared" si="13"/>
        <v/>
      </c>
      <c r="Z96" s="408"/>
      <c r="AA96" s="332" t="str">
        <f t="shared" si="14"/>
        <v/>
      </c>
      <c r="AB96" s="332"/>
      <c r="AC96" s="332" t="str">
        <f t="shared" si="15"/>
        <v/>
      </c>
      <c r="AD96" s="332"/>
      <c r="AE96" s="332" t="str">
        <f t="shared" si="16"/>
        <v/>
      </c>
      <c r="AF96" s="332"/>
      <c r="AG96" s="332" t="str">
        <f t="shared" si="17"/>
        <v/>
      </c>
      <c r="AH96" s="332"/>
      <c r="AI96" s="332" t="str">
        <f t="shared" si="18"/>
        <v/>
      </c>
      <c r="AJ96" s="332"/>
      <c r="AK96" s="333" t="str">
        <f t="shared" si="19"/>
        <v/>
      </c>
      <c r="AL96" s="404" t="str">
        <f t="shared" si="20"/>
        <v/>
      </c>
      <c r="AM96" s="404" t="str">
        <f t="shared" si="21"/>
        <v/>
      </c>
      <c r="AN96" s="405"/>
      <c r="AO96" s="405"/>
      <c r="AP96" s="405"/>
      <c r="AQ96" s="405"/>
      <c r="AR96" s="405"/>
      <c r="AS96" s="405"/>
      <c r="AT96" s="405"/>
      <c r="AU96" s="400" t="str">
        <f>IFERROR(VLOOKUP(AT96,'Seguridad Información'!$I$61:$J$65,2,0),"")</f>
        <v/>
      </c>
      <c r="AV96" s="400"/>
      <c r="AW96" s="406" t="str">
        <f t="shared" si="12"/>
        <v/>
      </c>
      <c r="AX96" s="404" t="str">
        <f t="shared" si="22"/>
        <v/>
      </c>
      <c r="AY96" s="406" t="str">
        <f>IFERROR(VLOOKUP((CONCATENATE(AM96,AX96)),Listados!$U$3:$V$11,2,FALSE),"")</f>
        <v/>
      </c>
      <c r="AZ96" s="404">
        <f t="shared" si="23"/>
        <v>100</v>
      </c>
      <c r="BA96" s="942"/>
      <c r="BB96" s="942"/>
      <c r="BC96" s="407">
        <f>+IF(AND(W96="Preventivo",BB91="Fuerte"),2,IF(AND(W96="Preventivo",BB91="Moderado"),1,0))</f>
        <v>0</v>
      </c>
      <c r="BD96" s="407">
        <f>+IF(AND(W96="Detectivo/Correctivo",$BB91="Fuerte"),2,IF(AND(W96="Detectivo/Correctivo",$BB96="Moderado"),1,IF(AND(W96="Preventivo",$BB91="Fuerte"),1,0)))</f>
        <v>0</v>
      </c>
      <c r="BE96" s="407" t="e">
        <f>+N91-BC96</f>
        <v>#N/A</v>
      </c>
      <c r="BF96" s="407" t="e">
        <f>+P91-BD96</f>
        <v>#N/A</v>
      </c>
      <c r="BG96" s="565"/>
      <c r="BH96" s="565"/>
      <c r="BI96" s="565"/>
      <c r="BJ96" s="573"/>
      <c r="BK96" s="573"/>
      <c r="BL96" s="573"/>
      <c r="BM96" s="939"/>
    </row>
    <row r="97" spans="1:65" ht="65.099999999999994" customHeight="1">
      <c r="A97" s="953">
        <v>16</v>
      </c>
      <c r="B97" s="949"/>
      <c r="C97" s="686" t="str">
        <f>IFERROR(VLOOKUP(B97,Listados!B$3:C$20,2,FALSE),"")</f>
        <v/>
      </c>
      <c r="D97" s="401"/>
      <c r="E97" s="401"/>
      <c r="F97" s="948"/>
      <c r="G97" s="947"/>
      <c r="H97" s="375"/>
      <c r="I97" s="375"/>
      <c r="J97" s="375"/>
      <c r="K97" s="402"/>
      <c r="L97" s="403"/>
      <c r="M97" s="689"/>
      <c r="N97" s="943" t="e">
        <f>+VLOOKUP(M97,Listados!$K$8:$L$12,2,0)</f>
        <v>#N/A</v>
      </c>
      <c r="O97" s="945"/>
      <c r="P97" s="943" t="e">
        <f>+VLOOKUP(O97,Listados!$K$13:$L$17,2,0)</f>
        <v>#N/A</v>
      </c>
      <c r="Q97" s="565" t="str">
        <f>IF(AND(M97&lt;&gt;"",O97&lt;&gt;""),VLOOKUP(M97&amp;O97,Listados!$M$3:$N$27,2,FALSE),"")</f>
        <v/>
      </c>
      <c r="R97" s="565" t="e">
        <f>+VLOOKUP(Q97,Listados!$P$3:$Q$6,2,FALSE)</f>
        <v>#N/A</v>
      </c>
      <c r="S97" s="332"/>
      <c r="T97" s="332"/>
      <c r="U97" s="347" t="s">
        <v>1179</v>
      </c>
      <c r="V97" s="408"/>
      <c r="W97" s="408"/>
      <c r="X97" s="408"/>
      <c r="Y97" s="332" t="str">
        <f t="shared" si="13"/>
        <v/>
      </c>
      <c r="Z97" s="408"/>
      <c r="AA97" s="332" t="str">
        <f t="shared" si="14"/>
        <v/>
      </c>
      <c r="AB97" s="332"/>
      <c r="AC97" s="332" t="str">
        <f t="shared" si="15"/>
        <v/>
      </c>
      <c r="AD97" s="332"/>
      <c r="AE97" s="332" t="str">
        <f t="shared" si="16"/>
        <v/>
      </c>
      <c r="AF97" s="332"/>
      <c r="AG97" s="332" t="str">
        <f t="shared" si="17"/>
        <v/>
      </c>
      <c r="AH97" s="332"/>
      <c r="AI97" s="332" t="str">
        <f t="shared" si="18"/>
        <v/>
      </c>
      <c r="AJ97" s="332"/>
      <c r="AK97" s="333" t="str">
        <f t="shared" si="19"/>
        <v/>
      </c>
      <c r="AL97" s="404" t="str">
        <f t="shared" si="20"/>
        <v/>
      </c>
      <c r="AM97" s="404" t="str">
        <f t="shared" si="21"/>
        <v/>
      </c>
      <c r="AN97" s="405"/>
      <c r="AO97" s="405"/>
      <c r="AP97" s="405"/>
      <c r="AQ97" s="405"/>
      <c r="AR97" s="405"/>
      <c r="AS97" s="405"/>
      <c r="AT97" s="405"/>
      <c r="AU97" s="400" t="str">
        <f>IFERROR(VLOOKUP(AT97,'Seguridad Información'!$I$61:$J$65,2,0),"")</f>
        <v/>
      </c>
      <c r="AV97" s="400"/>
      <c r="AW97" s="406" t="str">
        <f t="shared" si="12"/>
        <v/>
      </c>
      <c r="AX97" s="404" t="str">
        <f t="shared" si="22"/>
        <v/>
      </c>
      <c r="AY97" s="406" t="str">
        <f>IFERROR(VLOOKUP((CONCATENATE(AM97,AX97)),Listados!$U$3:$V$11,2,FALSE),"")</f>
        <v/>
      </c>
      <c r="AZ97" s="404">
        <f t="shared" si="23"/>
        <v>100</v>
      </c>
      <c r="BA97" s="942">
        <f>AVERAGE(AZ97:AZ102)</f>
        <v>100</v>
      </c>
      <c r="BB97" s="942" t="str">
        <f>IF(BA97&lt;=50, "Débil", IF(BA97&lt;=99,"Moderado","Fuerte"))</f>
        <v>Fuerte</v>
      </c>
      <c r="BC97" s="407">
        <f>+IF(AND(W97="Preventivo",BB97="Fuerte"),2,IF(AND(W97="Preventivo",BB97="Moderado"),1,0))</f>
        <v>0</v>
      </c>
      <c r="BD97" s="407">
        <f>+IF(AND(W97="Detectivo/Correctivo",$BB97="Fuerte"),2,IF(AND(W97="Detectivo/Correctivo",$BB97="Moderado"),1,IF(AND(W97="Preventivo",$BB97="Fuerte"),1,0)))</f>
        <v>0</v>
      </c>
      <c r="BE97" s="407" t="e">
        <f>+N97-BC97</f>
        <v>#N/A</v>
      </c>
      <c r="BF97" s="407" t="e">
        <f>+P97-BD97</f>
        <v>#N/A</v>
      </c>
      <c r="BG97" s="565" t="e">
        <f>+VLOOKUP(MIN(BE97,BE98,BE99,BE100,BE101,BE102),Listados!$J$18:$K$24,2,TRUE)</f>
        <v>#N/A</v>
      </c>
      <c r="BH97" s="565" t="e">
        <f>+VLOOKUP(MIN(BF97,BF98,BF99,BF100,BF101,BF102),Listados!$J$27:$K$32,2,TRUE)</f>
        <v>#N/A</v>
      </c>
      <c r="BI97" s="565" t="e">
        <f>IF(AND(BG97&lt;&gt;"",BH97&lt;&gt;""),VLOOKUP(BG97&amp;BH97,Listados!$M$3:$N$27,2,FALSE),"")</f>
        <v>#N/A</v>
      </c>
      <c r="BJ97" s="573" t="e">
        <f>+IF($R97="Asumir el riesgo","NA","")</f>
        <v>#N/A</v>
      </c>
      <c r="BK97" s="573" t="e">
        <f>+IF($R97="Asumir el riesgo","NA","")</f>
        <v>#N/A</v>
      </c>
      <c r="BL97" s="573" t="e">
        <f>+IF($R97="Asumir el riesgo","NA","")</f>
        <v>#N/A</v>
      </c>
      <c r="BM97" s="939" t="e">
        <f>+IF($R97="Asumir el riesgo","NA","")</f>
        <v>#N/A</v>
      </c>
    </row>
    <row r="98" spans="1:65" ht="65.099999999999994" customHeight="1">
      <c r="A98" s="953"/>
      <c r="B98" s="949"/>
      <c r="C98" s="686"/>
      <c r="D98" s="401"/>
      <c r="E98" s="401"/>
      <c r="F98" s="948"/>
      <c r="G98" s="947"/>
      <c r="H98" s="375"/>
      <c r="I98" s="375"/>
      <c r="J98" s="375"/>
      <c r="K98" s="402"/>
      <c r="L98" s="403"/>
      <c r="M98" s="689"/>
      <c r="N98" s="943"/>
      <c r="O98" s="945"/>
      <c r="P98" s="943"/>
      <c r="Q98" s="565"/>
      <c r="R98" s="565"/>
      <c r="S98" s="332"/>
      <c r="T98" s="332"/>
      <c r="U98" s="347" t="s">
        <v>1179</v>
      </c>
      <c r="V98" s="408"/>
      <c r="W98" s="408"/>
      <c r="X98" s="408"/>
      <c r="Y98" s="332" t="str">
        <f t="shared" si="13"/>
        <v/>
      </c>
      <c r="Z98" s="408"/>
      <c r="AA98" s="332" t="str">
        <f t="shared" si="14"/>
        <v/>
      </c>
      <c r="AB98" s="332"/>
      <c r="AC98" s="332" t="str">
        <f t="shared" si="15"/>
        <v/>
      </c>
      <c r="AD98" s="332"/>
      <c r="AE98" s="332" t="str">
        <f t="shared" si="16"/>
        <v/>
      </c>
      <c r="AF98" s="332"/>
      <c r="AG98" s="332" t="str">
        <f t="shared" si="17"/>
        <v/>
      </c>
      <c r="AH98" s="332"/>
      <c r="AI98" s="332" t="str">
        <f t="shared" si="18"/>
        <v/>
      </c>
      <c r="AJ98" s="332"/>
      <c r="AK98" s="333" t="str">
        <f t="shared" si="19"/>
        <v/>
      </c>
      <c r="AL98" s="404" t="str">
        <f t="shared" si="20"/>
        <v/>
      </c>
      <c r="AM98" s="404" t="str">
        <f t="shared" si="21"/>
        <v/>
      </c>
      <c r="AN98" s="405"/>
      <c r="AO98" s="405"/>
      <c r="AP98" s="405"/>
      <c r="AQ98" s="405"/>
      <c r="AR98" s="405"/>
      <c r="AS98" s="405"/>
      <c r="AT98" s="405"/>
      <c r="AU98" s="400" t="str">
        <f>IFERROR(VLOOKUP(AT98,'Seguridad Información'!$I$61:$J$65,2,0),"")</f>
        <v/>
      </c>
      <c r="AV98" s="400"/>
      <c r="AW98" s="406" t="str">
        <f t="shared" si="12"/>
        <v/>
      </c>
      <c r="AX98" s="404" t="str">
        <f t="shared" si="22"/>
        <v/>
      </c>
      <c r="AY98" s="406" t="str">
        <f>IFERROR(VLOOKUP((CONCATENATE(AM98,AX98)),Listados!$U$3:$V$11,2,FALSE),"")</f>
        <v/>
      </c>
      <c r="AZ98" s="404">
        <f t="shared" si="23"/>
        <v>100</v>
      </c>
      <c r="BA98" s="942"/>
      <c r="BB98" s="942"/>
      <c r="BC98" s="407">
        <f>+IF(AND(W98="Preventivo",BB97="Fuerte"),2,IF(AND(W98="Preventivo",BB97="Moderado"),1,0))</f>
        <v>0</v>
      </c>
      <c r="BD98" s="407">
        <f>+IF(AND(W98="Detectivo/Correctivo",$BB97="Fuerte"),2,IF(AND(W98="Detectivo/Correctivo",$BB98="Moderado"),1,IF(AND(W98="Preventivo",$BB97="Fuerte"),1,0)))</f>
        <v>0</v>
      </c>
      <c r="BE98" s="407" t="e">
        <f>+N97-BC98</f>
        <v>#N/A</v>
      </c>
      <c r="BF98" s="407" t="e">
        <f>+P97-BD98</f>
        <v>#N/A</v>
      </c>
      <c r="BG98" s="565"/>
      <c r="BH98" s="565"/>
      <c r="BI98" s="565"/>
      <c r="BJ98" s="573"/>
      <c r="BK98" s="573"/>
      <c r="BL98" s="573"/>
      <c r="BM98" s="939"/>
    </row>
    <row r="99" spans="1:65" ht="65.099999999999994" customHeight="1">
      <c r="A99" s="953"/>
      <c r="B99" s="949"/>
      <c r="C99" s="686"/>
      <c r="D99" s="401"/>
      <c r="E99" s="401"/>
      <c r="F99" s="948"/>
      <c r="G99" s="947"/>
      <c r="H99" s="375"/>
      <c r="I99" s="375"/>
      <c r="J99" s="375"/>
      <c r="K99" s="402"/>
      <c r="L99" s="403"/>
      <c r="M99" s="689"/>
      <c r="N99" s="943"/>
      <c r="O99" s="945"/>
      <c r="P99" s="943"/>
      <c r="Q99" s="565"/>
      <c r="R99" s="565"/>
      <c r="S99" s="332"/>
      <c r="T99" s="332"/>
      <c r="U99" s="347" t="s">
        <v>1179</v>
      </c>
      <c r="V99" s="408"/>
      <c r="W99" s="408"/>
      <c r="X99" s="408"/>
      <c r="Y99" s="332" t="str">
        <f t="shared" si="13"/>
        <v/>
      </c>
      <c r="Z99" s="408"/>
      <c r="AA99" s="332" t="str">
        <f t="shared" si="14"/>
        <v/>
      </c>
      <c r="AB99" s="332"/>
      <c r="AC99" s="332" t="str">
        <f t="shared" si="15"/>
        <v/>
      </c>
      <c r="AD99" s="332"/>
      <c r="AE99" s="332" t="str">
        <f t="shared" si="16"/>
        <v/>
      </c>
      <c r="AF99" s="332"/>
      <c r="AG99" s="332" t="str">
        <f t="shared" si="17"/>
        <v/>
      </c>
      <c r="AH99" s="332"/>
      <c r="AI99" s="332" t="str">
        <f t="shared" si="18"/>
        <v/>
      </c>
      <c r="AJ99" s="332"/>
      <c r="AK99" s="333" t="str">
        <f t="shared" si="19"/>
        <v/>
      </c>
      <c r="AL99" s="404" t="str">
        <f t="shared" si="20"/>
        <v/>
      </c>
      <c r="AM99" s="404" t="str">
        <f t="shared" si="21"/>
        <v/>
      </c>
      <c r="AN99" s="405"/>
      <c r="AO99" s="405"/>
      <c r="AP99" s="405"/>
      <c r="AQ99" s="405"/>
      <c r="AR99" s="405"/>
      <c r="AS99" s="405"/>
      <c r="AT99" s="405"/>
      <c r="AU99" s="400" t="str">
        <f>IFERROR(VLOOKUP(AT99,'Seguridad Información'!$I$61:$J$65,2,0),"")</f>
        <v/>
      </c>
      <c r="AV99" s="400"/>
      <c r="AW99" s="406" t="str">
        <f t="shared" si="12"/>
        <v/>
      </c>
      <c r="AX99" s="404" t="str">
        <f t="shared" si="22"/>
        <v/>
      </c>
      <c r="AY99" s="406" t="str">
        <f>IFERROR(VLOOKUP((CONCATENATE(AM99,AX99)),Listados!$U$3:$V$11,2,FALSE),"")</f>
        <v/>
      </c>
      <c r="AZ99" s="404">
        <f t="shared" si="23"/>
        <v>100</v>
      </c>
      <c r="BA99" s="942"/>
      <c r="BB99" s="942"/>
      <c r="BC99" s="407">
        <f>+IF(AND(W99="Preventivo",BB97="Fuerte"),2,IF(AND(W99="Preventivo",BB97="Moderado"),1,0))</f>
        <v>0</v>
      </c>
      <c r="BD99" s="407">
        <f>+IF(AND(W99="Detectivo/Correctivo",$BB97="Fuerte"),2,IF(AND(W99="Detectivo/Correctivo",$BB99="Moderado"),1,IF(AND(W99="Preventivo",$BB97="Fuerte"),1,0)))</f>
        <v>0</v>
      </c>
      <c r="BE99" s="407" t="e">
        <f>+N97-BC99</f>
        <v>#N/A</v>
      </c>
      <c r="BF99" s="407" t="e">
        <f>+P97-BD99</f>
        <v>#N/A</v>
      </c>
      <c r="BG99" s="565"/>
      <c r="BH99" s="565"/>
      <c r="BI99" s="565"/>
      <c r="BJ99" s="573"/>
      <c r="BK99" s="573"/>
      <c r="BL99" s="573"/>
      <c r="BM99" s="939"/>
    </row>
    <row r="100" spans="1:65" ht="65.099999999999994" customHeight="1">
      <c r="A100" s="953"/>
      <c r="B100" s="949"/>
      <c r="C100" s="686"/>
      <c r="D100" s="401"/>
      <c r="E100" s="401"/>
      <c r="F100" s="948"/>
      <c r="G100" s="947"/>
      <c r="H100" s="375"/>
      <c r="I100" s="375"/>
      <c r="J100" s="375"/>
      <c r="K100" s="402"/>
      <c r="L100" s="403"/>
      <c r="M100" s="689"/>
      <c r="N100" s="943"/>
      <c r="O100" s="945"/>
      <c r="P100" s="943"/>
      <c r="Q100" s="565"/>
      <c r="R100" s="565"/>
      <c r="S100" s="332"/>
      <c r="T100" s="332"/>
      <c r="U100" s="347" t="s">
        <v>1179</v>
      </c>
      <c r="V100" s="408"/>
      <c r="W100" s="408"/>
      <c r="X100" s="408"/>
      <c r="Y100" s="332" t="str">
        <f t="shared" si="13"/>
        <v/>
      </c>
      <c r="Z100" s="408"/>
      <c r="AA100" s="332" t="str">
        <f t="shared" si="14"/>
        <v/>
      </c>
      <c r="AB100" s="332"/>
      <c r="AC100" s="332" t="str">
        <f t="shared" si="15"/>
        <v/>
      </c>
      <c r="AD100" s="332"/>
      <c r="AE100" s="332" t="str">
        <f t="shared" si="16"/>
        <v/>
      </c>
      <c r="AF100" s="332"/>
      <c r="AG100" s="332" t="str">
        <f t="shared" si="17"/>
        <v/>
      </c>
      <c r="AH100" s="332"/>
      <c r="AI100" s="332" t="str">
        <f t="shared" si="18"/>
        <v/>
      </c>
      <c r="AJ100" s="332"/>
      <c r="AK100" s="333" t="str">
        <f t="shared" si="19"/>
        <v/>
      </c>
      <c r="AL100" s="404" t="str">
        <f t="shared" si="20"/>
        <v/>
      </c>
      <c r="AM100" s="404" t="str">
        <f t="shared" si="21"/>
        <v/>
      </c>
      <c r="AN100" s="405"/>
      <c r="AO100" s="405"/>
      <c r="AP100" s="405"/>
      <c r="AQ100" s="405"/>
      <c r="AR100" s="405"/>
      <c r="AS100" s="405"/>
      <c r="AT100" s="405"/>
      <c r="AU100" s="400" t="str">
        <f>IFERROR(VLOOKUP(AT100,'Seguridad Información'!$I$61:$J$65,2,0),"")</f>
        <v/>
      </c>
      <c r="AV100" s="400"/>
      <c r="AW100" s="406" t="str">
        <f t="shared" si="12"/>
        <v/>
      </c>
      <c r="AX100" s="404" t="str">
        <f t="shared" si="22"/>
        <v/>
      </c>
      <c r="AY100" s="406" t="str">
        <f>IFERROR(VLOOKUP((CONCATENATE(AM100,AX100)),Listados!$U$3:$V$11,2,FALSE),"")</f>
        <v/>
      </c>
      <c r="AZ100" s="404">
        <f t="shared" si="23"/>
        <v>100</v>
      </c>
      <c r="BA100" s="942"/>
      <c r="BB100" s="942"/>
      <c r="BC100" s="407">
        <f>+IF(AND(W100="Preventivo",BB97="Fuerte"),2,IF(AND(W100="Preventivo",BB97="Moderado"),1,0))</f>
        <v>0</v>
      </c>
      <c r="BD100" s="407">
        <f>+IF(AND(W100="Detectivo/Correctivo",$BB97="Fuerte"),2,IF(AND(W100="Detectivo/Correctivo",$BB100="Moderado"),1,IF(AND(W100="Preventivo",$BB97="Fuerte"),1,0)))</f>
        <v>0</v>
      </c>
      <c r="BE100" s="407" t="e">
        <f>+N97-BC100</f>
        <v>#N/A</v>
      </c>
      <c r="BF100" s="407" t="e">
        <f>+P97-BD100</f>
        <v>#N/A</v>
      </c>
      <c r="BG100" s="565"/>
      <c r="BH100" s="565"/>
      <c r="BI100" s="565"/>
      <c r="BJ100" s="573"/>
      <c r="BK100" s="573"/>
      <c r="BL100" s="573"/>
      <c r="BM100" s="939"/>
    </row>
    <row r="101" spans="1:65" ht="65.099999999999994" customHeight="1">
      <c r="A101" s="953"/>
      <c r="B101" s="949"/>
      <c r="C101" s="686"/>
      <c r="D101" s="401"/>
      <c r="E101" s="401"/>
      <c r="F101" s="948"/>
      <c r="G101" s="947"/>
      <c r="H101" s="375"/>
      <c r="I101" s="375"/>
      <c r="J101" s="375"/>
      <c r="K101" s="402"/>
      <c r="L101" s="403"/>
      <c r="M101" s="689"/>
      <c r="N101" s="943"/>
      <c r="O101" s="945"/>
      <c r="P101" s="943"/>
      <c r="Q101" s="565"/>
      <c r="R101" s="565"/>
      <c r="S101" s="332"/>
      <c r="T101" s="332"/>
      <c r="U101" s="347" t="s">
        <v>1179</v>
      </c>
      <c r="V101" s="408"/>
      <c r="W101" s="408"/>
      <c r="X101" s="408"/>
      <c r="Y101" s="332" t="str">
        <f t="shared" si="13"/>
        <v/>
      </c>
      <c r="Z101" s="408"/>
      <c r="AA101" s="332" t="str">
        <f t="shared" si="14"/>
        <v/>
      </c>
      <c r="AB101" s="332"/>
      <c r="AC101" s="332" t="str">
        <f t="shared" si="15"/>
        <v/>
      </c>
      <c r="AD101" s="332"/>
      <c r="AE101" s="332" t="str">
        <f t="shared" si="16"/>
        <v/>
      </c>
      <c r="AF101" s="332"/>
      <c r="AG101" s="332" t="str">
        <f t="shared" si="17"/>
        <v/>
      </c>
      <c r="AH101" s="332"/>
      <c r="AI101" s="332" t="str">
        <f t="shared" si="18"/>
        <v/>
      </c>
      <c r="AJ101" s="332"/>
      <c r="AK101" s="333" t="str">
        <f t="shared" si="19"/>
        <v/>
      </c>
      <c r="AL101" s="404" t="str">
        <f t="shared" si="20"/>
        <v/>
      </c>
      <c r="AM101" s="404" t="str">
        <f t="shared" si="21"/>
        <v/>
      </c>
      <c r="AN101" s="405"/>
      <c r="AO101" s="405"/>
      <c r="AP101" s="405"/>
      <c r="AQ101" s="405"/>
      <c r="AR101" s="405"/>
      <c r="AS101" s="405"/>
      <c r="AT101" s="405"/>
      <c r="AU101" s="400" t="str">
        <f>IFERROR(VLOOKUP(AT101,'Seguridad Información'!$I$61:$J$65,2,0),"")</f>
        <v/>
      </c>
      <c r="AV101" s="400"/>
      <c r="AW101" s="406" t="str">
        <f t="shared" si="12"/>
        <v/>
      </c>
      <c r="AX101" s="404" t="str">
        <f t="shared" si="22"/>
        <v/>
      </c>
      <c r="AY101" s="406" t="str">
        <f>IFERROR(VLOOKUP((CONCATENATE(AM101,AX101)),Listados!$U$3:$V$11,2,FALSE),"")</f>
        <v/>
      </c>
      <c r="AZ101" s="404">
        <f t="shared" si="23"/>
        <v>100</v>
      </c>
      <c r="BA101" s="942"/>
      <c r="BB101" s="942"/>
      <c r="BC101" s="407">
        <f>+IF(AND(W101="Preventivo",BB97="Fuerte"),2,IF(AND(W101="Preventivo",BB97="Moderado"),1,0))</f>
        <v>0</v>
      </c>
      <c r="BD101" s="407">
        <f>+IF(AND(W101="Detectivo/Correctivo",$BB97="Fuerte"),2,IF(AND(W101="Detectivo/Correctivo",$BB101="Moderado"),1,IF(AND(W101="Preventivo",$BB97="Fuerte"),1,0)))</f>
        <v>0</v>
      </c>
      <c r="BE101" s="407" t="e">
        <f>+N97-BC101</f>
        <v>#N/A</v>
      </c>
      <c r="BF101" s="407" t="e">
        <f>+P97-BD101</f>
        <v>#N/A</v>
      </c>
      <c r="BG101" s="565"/>
      <c r="BH101" s="565"/>
      <c r="BI101" s="565"/>
      <c r="BJ101" s="573"/>
      <c r="BK101" s="573"/>
      <c r="BL101" s="573"/>
      <c r="BM101" s="939"/>
    </row>
    <row r="102" spans="1:65" ht="65.099999999999994" customHeight="1">
      <c r="A102" s="953"/>
      <c r="B102" s="949"/>
      <c r="C102" s="686"/>
      <c r="D102" s="401"/>
      <c r="E102" s="401"/>
      <c r="F102" s="948"/>
      <c r="G102" s="947"/>
      <c r="H102" s="375"/>
      <c r="I102" s="375"/>
      <c r="J102" s="375"/>
      <c r="K102" s="402"/>
      <c r="L102" s="403"/>
      <c r="M102" s="689"/>
      <c r="N102" s="943"/>
      <c r="O102" s="945"/>
      <c r="P102" s="943"/>
      <c r="Q102" s="565"/>
      <c r="R102" s="565"/>
      <c r="S102" s="332"/>
      <c r="T102" s="332"/>
      <c r="U102" s="347" t="s">
        <v>1179</v>
      </c>
      <c r="V102" s="408"/>
      <c r="W102" s="408"/>
      <c r="X102" s="408"/>
      <c r="Y102" s="332" t="str">
        <f t="shared" si="13"/>
        <v/>
      </c>
      <c r="Z102" s="408"/>
      <c r="AA102" s="332" t="str">
        <f t="shared" si="14"/>
        <v/>
      </c>
      <c r="AB102" s="332"/>
      <c r="AC102" s="332" t="str">
        <f t="shared" si="15"/>
        <v/>
      </c>
      <c r="AD102" s="332"/>
      <c r="AE102" s="332" t="str">
        <f t="shared" si="16"/>
        <v/>
      </c>
      <c r="AF102" s="332"/>
      <c r="AG102" s="332" t="str">
        <f t="shared" si="17"/>
        <v/>
      </c>
      <c r="AH102" s="332"/>
      <c r="AI102" s="332" t="str">
        <f t="shared" si="18"/>
        <v/>
      </c>
      <c r="AJ102" s="332"/>
      <c r="AK102" s="333" t="str">
        <f t="shared" si="19"/>
        <v/>
      </c>
      <c r="AL102" s="404" t="str">
        <f t="shared" si="20"/>
        <v/>
      </c>
      <c r="AM102" s="404" t="str">
        <f t="shared" si="21"/>
        <v/>
      </c>
      <c r="AN102" s="405"/>
      <c r="AO102" s="405"/>
      <c r="AP102" s="405"/>
      <c r="AQ102" s="405"/>
      <c r="AR102" s="405"/>
      <c r="AS102" s="405"/>
      <c r="AT102" s="405"/>
      <c r="AU102" s="400" t="str">
        <f>IFERROR(VLOOKUP(AT102,'Seguridad Información'!$I$61:$J$65,2,0),"")</f>
        <v/>
      </c>
      <c r="AV102" s="400"/>
      <c r="AW102" s="406" t="str">
        <f t="shared" si="12"/>
        <v/>
      </c>
      <c r="AX102" s="404" t="str">
        <f t="shared" si="22"/>
        <v/>
      </c>
      <c r="AY102" s="406" t="str">
        <f>IFERROR(VLOOKUP((CONCATENATE(AM102,AX102)),Listados!$U$3:$V$11,2,FALSE),"")</f>
        <v/>
      </c>
      <c r="AZ102" s="404">
        <f t="shared" si="23"/>
        <v>100</v>
      </c>
      <c r="BA102" s="942"/>
      <c r="BB102" s="942"/>
      <c r="BC102" s="407">
        <f>+IF(AND(W102="Preventivo",BB97="Fuerte"),2,IF(AND(W102="Preventivo",BB97="Moderado"),1,0))</f>
        <v>0</v>
      </c>
      <c r="BD102" s="407">
        <f>+IF(AND(W102="Detectivo/Correctivo",$BB97="Fuerte"),2,IF(AND(W102="Detectivo/Correctivo",$BB102="Moderado"),1,IF(AND(W102="Preventivo",$BB97="Fuerte"),1,0)))</f>
        <v>0</v>
      </c>
      <c r="BE102" s="407" t="e">
        <f>+N97-BC102</f>
        <v>#N/A</v>
      </c>
      <c r="BF102" s="407" t="e">
        <f>+P97-BD102</f>
        <v>#N/A</v>
      </c>
      <c r="BG102" s="565"/>
      <c r="BH102" s="565"/>
      <c r="BI102" s="565"/>
      <c r="BJ102" s="573"/>
      <c r="BK102" s="573"/>
      <c r="BL102" s="573"/>
      <c r="BM102" s="939"/>
    </row>
    <row r="103" spans="1:65" ht="65.099999999999994" customHeight="1">
      <c r="A103" s="953">
        <v>17</v>
      </c>
      <c r="B103" s="949"/>
      <c r="C103" s="686" t="str">
        <f>IFERROR(VLOOKUP(B103,Listados!B$3:C$20,2,FALSE),"")</f>
        <v/>
      </c>
      <c r="D103" s="401"/>
      <c r="E103" s="401"/>
      <c r="F103" s="948"/>
      <c r="G103" s="947"/>
      <c r="H103" s="375"/>
      <c r="I103" s="375"/>
      <c r="J103" s="375"/>
      <c r="K103" s="402"/>
      <c r="L103" s="403"/>
      <c r="M103" s="689"/>
      <c r="N103" s="943" t="e">
        <f>+VLOOKUP(M103,Listados!$K$8:$L$12,2,0)</f>
        <v>#N/A</v>
      </c>
      <c r="O103" s="945"/>
      <c r="P103" s="943" t="e">
        <f>+VLOOKUP(O103,Listados!$K$13:$L$17,2,0)</f>
        <v>#N/A</v>
      </c>
      <c r="Q103" s="565" t="str">
        <f>IF(AND(M103&lt;&gt;"",O103&lt;&gt;""),VLOOKUP(M103&amp;O103,Listados!$M$3:$N$27,2,FALSE),"")</f>
        <v/>
      </c>
      <c r="R103" s="565" t="e">
        <f>+VLOOKUP(Q103,Listados!$P$3:$Q$6,2,FALSE)</f>
        <v>#N/A</v>
      </c>
      <c r="S103" s="332"/>
      <c r="T103" s="332"/>
      <c r="U103" s="347" t="s">
        <v>1179</v>
      </c>
      <c r="V103" s="408"/>
      <c r="W103" s="408"/>
      <c r="X103" s="408"/>
      <c r="Y103" s="332" t="str">
        <f t="shared" si="13"/>
        <v/>
      </c>
      <c r="Z103" s="408"/>
      <c r="AA103" s="332" t="str">
        <f t="shared" si="14"/>
        <v/>
      </c>
      <c r="AB103" s="332"/>
      <c r="AC103" s="332" t="str">
        <f t="shared" si="15"/>
        <v/>
      </c>
      <c r="AD103" s="332"/>
      <c r="AE103" s="332" t="str">
        <f t="shared" si="16"/>
        <v/>
      </c>
      <c r="AF103" s="332"/>
      <c r="AG103" s="332" t="str">
        <f t="shared" si="17"/>
        <v/>
      </c>
      <c r="AH103" s="332"/>
      <c r="AI103" s="332" t="str">
        <f t="shared" si="18"/>
        <v/>
      </c>
      <c r="AJ103" s="332"/>
      <c r="AK103" s="333" t="str">
        <f t="shared" si="19"/>
        <v/>
      </c>
      <c r="AL103" s="404" t="str">
        <f t="shared" si="20"/>
        <v/>
      </c>
      <c r="AM103" s="404" t="str">
        <f t="shared" si="21"/>
        <v/>
      </c>
      <c r="AN103" s="405"/>
      <c r="AO103" s="405"/>
      <c r="AP103" s="405"/>
      <c r="AQ103" s="405"/>
      <c r="AR103" s="405"/>
      <c r="AS103" s="405"/>
      <c r="AT103" s="405"/>
      <c r="AU103" s="400" t="str">
        <f>IFERROR(VLOOKUP(AT103,'Seguridad Información'!$I$61:$J$65,2,0),"")</f>
        <v/>
      </c>
      <c r="AV103" s="400"/>
      <c r="AW103" s="406" t="str">
        <f t="shared" si="12"/>
        <v/>
      </c>
      <c r="AX103" s="404" t="str">
        <f t="shared" si="22"/>
        <v/>
      </c>
      <c r="AY103" s="406" t="str">
        <f>IFERROR(VLOOKUP((CONCATENATE(AM103,AX103)),Listados!$U$3:$V$11,2,FALSE),"")</f>
        <v/>
      </c>
      <c r="AZ103" s="404">
        <f t="shared" si="23"/>
        <v>100</v>
      </c>
      <c r="BA103" s="942">
        <f>AVERAGE(AZ103:AZ108)</f>
        <v>100</v>
      </c>
      <c r="BB103" s="942" t="str">
        <f>IF(BA103&lt;=50, "Débil", IF(BA103&lt;=99,"Moderado","Fuerte"))</f>
        <v>Fuerte</v>
      </c>
      <c r="BC103" s="407">
        <f>+IF(AND(W103="Preventivo",BB103="Fuerte"),2,IF(AND(W103="Preventivo",BB103="Moderado"),1,0))</f>
        <v>0</v>
      </c>
      <c r="BD103" s="407">
        <f>+IF(AND(W103="Detectivo/Correctivo",$BB103="Fuerte"),2,IF(AND(W103="Detectivo/Correctivo",$BB103="Moderado"),1,IF(AND(W103="Preventivo",$BB103="Fuerte"),1,0)))</f>
        <v>0</v>
      </c>
      <c r="BE103" s="407" t="e">
        <f>+N103-BC103</f>
        <v>#N/A</v>
      </c>
      <c r="BF103" s="407" t="e">
        <f>+P103-BD103</f>
        <v>#N/A</v>
      </c>
      <c r="BG103" s="565" t="e">
        <f>+VLOOKUP(MIN(BE103,BE104,BE105,BE106,BE107,BE108),Listados!$J$18:$K$24,2,TRUE)</f>
        <v>#N/A</v>
      </c>
      <c r="BH103" s="565" t="e">
        <f>+VLOOKUP(MIN(BF103,BF104,BF105,BF106,BF107,BF108),Listados!$J$27:$K$32,2,TRUE)</f>
        <v>#N/A</v>
      </c>
      <c r="BI103" s="565" t="e">
        <f>IF(AND(BG103&lt;&gt;"",BH103&lt;&gt;""),VLOOKUP(BG103&amp;BH103,Listados!$M$3:$N$27,2,FALSE),"")</f>
        <v>#N/A</v>
      </c>
      <c r="BJ103" s="573" t="e">
        <f>+IF($R103="Asumir el riesgo","NA","")</f>
        <v>#N/A</v>
      </c>
      <c r="BK103" s="573" t="e">
        <f>+IF($R103="Asumir el riesgo","NA","")</f>
        <v>#N/A</v>
      </c>
      <c r="BL103" s="573" t="e">
        <f>+IF($R103="Asumir el riesgo","NA","")</f>
        <v>#N/A</v>
      </c>
      <c r="BM103" s="939" t="e">
        <f>+IF($R103="Asumir el riesgo","NA","")</f>
        <v>#N/A</v>
      </c>
    </row>
    <row r="104" spans="1:65" ht="65.099999999999994" customHeight="1">
      <c r="A104" s="953"/>
      <c r="B104" s="949"/>
      <c r="C104" s="686"/>
      <c r="D104" s="401"/>
      <c r="E104" s="401"/>
      <c r="F104" s="948"/>
      <c r="G104" s="947"/>
      <c r="H104" s="375"/>
      <c r="I104" s="375"/>
      <c r="J104" s="375"/>
      <c r="K104" s="402"/>
      <c r="L104" s="403"/>
      <c r="M104" s="689"/>
      <c r="N104" s="943"/>
      <c r="O104" s="945"/>
      <c r="P104" s="943"/>
      <c r="Q104" s="565"/>
      <c r="R104" s="565"/>
      <c r="S104" s="332"/>
      <c r="T104" s="332"/>
      <c r="U104" s="347" t="s">
        <v>1179</v>
      </c>
      <c r="V104" s="408"/>
      <c r="W104" s="408"/>
      <c r="X104" s="408"/>
      <c r="Y104" s="332" t="str">
        <f t="shared" si="13"/>
        <v/>
      </c>
      <c r="Z104" s="408"/>
      <c r="AA104" s="332" t="str">
        <f t="shared" si="14"/>
        <v/>
      </c>
      <c r="AB104" s="332"/>
      <c r="AC104" s="332" t="str">
        <f t="shared" si="15"/>
        <v/>
      </c>
      <c r="AD104" s="332"/>
      <c r="AE104" s="332" t="str">
        <f t="shared" si="16"/>
        <v/>
      </c>
      <c r="AF104" s="332"/>
      <c r="AG104" s="332" t="str">
        <f t="shared" si="17"/>
        <v/>
      </c>
      <c r="AH104" s="332"/>
      <c r="AI104" s="332" t="str">
        <f t="shared" si="18"/>
        <v/>
      </c>
      <c r="AJ104" s="332"/>
      <c r="AK104" s="333" t="str">
        <f t="shared" si="19"/>
        <v/>
      </c>
      <c r="AL104" s="404" t="str">
        <f t="shared" si="20"/>
        <v/>
      </c>
      <c r="AM104" s="404" t="str">
        <f t="shared" si="21"/>
        <v/>
      </c>
      <c r="AN104" s="405"/>
      <c r="AO104" s="405"/>
      <c r="AP104" s="405"/>
      <c r="AQ104" s="405"/>
      <c r="AR104" s="405"/>
      <c r="AS104" s="405"/>
      <c r="AT104" s="405"/>
      <c r="AU104" s="400" t="str">
        <f>IFERROR(VLOOKUP(AT104,'Seguridad Información'!$I$61:$J$65,2,0),"")</f>
        <v/>
      </c>
      <c r="AV104" s="400"/>
      <c r="AW104" s="406" t="str">
        <f t="shared" si="12"/>
        <v/>
      </c>
      <c r="AX104" s="404" t="str">
        <f t="shared" si="22"/>
        <v/>
      </c>
      <c r="AY104" s="406" t="str">
        <f>IFERROR(VLOOKUP((CONCATENATE(AM104,AX104)),Listados!$U$3:$V$11,2,FALSE),"")</f>
        <v/>
      </c>
      <c r="AZ104" s="404">
        <f t="shared" si="23"/>
        <v>100</v>
      </c>
      <c r="BA104" s="942"/>
      <c r="BB104" s="942"/>
      <c r="BC104" s="407">
        <f>+IF(AND(W104="Preventivo",BB103="Fuerte"),2,IF(AND(W104="Preventivo",BB103="Moderado"),1,0))</f>
        <v>0</v>
      </c>
      <c r="BD104" s="407">
        <f>+IF(AND(W104="Detectivo/Correctivo",$BB103="Fuerte"),2,IF(AND(W104="Detectivo/Correctivo",$BB104="Moderado"),1,IF(AND(W104="Preventivo",$BB103="Fuerte"),1,0)))</f>
        <v>0</v>
      </c>
      <c r="BE104" s="407" t="e">
        <f>+N103-BC104</f>
        <v>#N/A</v>
      </c>
      <c r="BF104" s="407" t="e">
        <f>+P103-BD104</f>
        <v>#N/A</v>
      </c>
      <c r="BG104" s="565"/>
      <c r="BH104" s="565"/>
      <c r="BI104" s="565"/>
      <c r="BJ104" s="573"/>
      <c r="BK104" s="573"/>
      <c r="BL104" s="573"/>
      <c r="BM104" s="939"/>
    </row>
    <row r="105" spans="1:65" ht="65.099999999999994" customHeight="1">
      <c r="A105" s="953"/>
      <c r="B105" s="949"/>
      <c r="C105" s="686"/>
      <c r="D105" s="401"/>
      <c r="E105" s="401"/>
      <c r="F105" s="948"/>
      <c r="G105" s="947"/>
      <c r="H105" s="375"/>
      <c r="I105" s="375"/>
      <c r="J105" s="375"/>
      <c r="K105" s="402"/>
      <c r="L105" s="403"/>
      <c r="M105" s="689"/>
      <c r="N105" s="943"/>
      <c r="O105" s="945"/>
      <c r="P105" s="943"/>
      <c r="Q105" s="565"/>
      <c r="R105" s="565"/>
      <c r="S105" s="332"/>
      <c r="T105" s="332"/>
      <c r="U105" s="347" t="s">
        <v>1179</v>
      </c>
      <c r="V105" s="408"/>
      <c r="W105" s="408"/>
      <c r="X105" s="408"/>
      <c r="Y105" s="332" t="str">
        <f t="shared" si="13"/>
        <v/>
      </c>
      <c r="Z105" s="408"/>
      <c r="AA105" s="332" t="str">
        <f t="shared" si="14"/>
        <v/>
      </c>
      <c r="AB105" s="332"/>
      <c r="AC105" s="332" t="str">
        <f t="shared" si="15"/>
        <v/>
      </c>
      <c r="AD105" s="332"/>
      <c r="AE105" s="332" t="str">
        <f t="shared" si="16"/>
        <v/>
      </c>
      <c r="AF105" s="332"/>
      <c r="AG105" s="332" t="str">
        <f t="shared" si="17"/>
        <v/>
      </c>
      <c r="AH105" s="332"/>
      <c r="AI105" s="332" t="str">
        <f t="shared" si="18"/>
        <v/>
      </c>
      <c r="AJ105" s="332"/>
      <c r="AK105" s="333" t="str">
        <f t="shared" si="19"/>
        <v/>
      </c>
      <c r="AL105" s="404" t="str">
        <f t="shared" si="20"/>
        <v/>
      </c>
      <c r="AM105" s="404" t="str">
        <f t="shared" si="21"/>
        <v/>
      </c>
      <c r="AN105" s="405"/>
      <c r="AO105" s="405"/>
      <c r="AP105" s="405"/>
      <c r="AQ105" s="405"/>
      <c r="AR105" s="405"/>
      <c r="AS105" s="405"/>
      <c r="AT105" s="405"/>
      <c r="AU105" s="400" t="str">
        <f>IFERROR(VLOOKUP(AT105,'Seguridad Información'!$I$61:$J$65,2,0),"")</f>
        <v/>
      </c>
      <c r="AV105" s="400"/>
      <c r="AW105" s="406" t="str">
        <f t="shared" si="12"/>
        <v/>
      </c>
      <c r="AX105" s="404" t="str">
        <f t="shared" si="22"/>
        <v/>
      </c>
      <c r="AY105" s="406" t="str">
        <f>IFERROR(VLOOKUP((CONCATENATE(AM105,AX105)),Listados!$U$3:$V$11,2,FALSE),"")</f>
        <v/>
      </c>
      <c r="AZ105" s="404">
        <f t="shared" si="23"/>
        <v>100</v>
      </c>
      <c r="BA105" s="942"/>
      <c r="BB105" s="942"/>
      <c r="BC105" s="407">
        <f>+IF(AND(W105="Preventivo",BB103="Fuerte"),2,IF(AND(W105="Preventivo",BB103="Moderado"),1,0))</f>
        <v>0</v>
      </c>
      <c r="BD105" s="407">
        <f>+IF(AND(W105="Detectivo/Correctivo",$BB103="Fuerte"),2,IF(AND(W105="Detectivo/Correctivo",$BB105="Moderado"),1,IF(AND(W105="Preventivo",$BB103="Fuerte"),1,0)))</f>
        <v>0</v>
      </c>
      <c r="BE105" s="407" t="e">
        <f>+N103-BC105</f>
        <v>#N/A</v>
      </c>
      <c r="BF105" s="407" t="e">
        <f>+P103-BD105</f>
        <v>#N/A</v>
      </c>
      <c r="BG105" s="565"/>
      <c r="BH105" s="565"/>
      <c r="BI105" s="565"/>
      <c r="BJ105" s="573"/>
      <c r="BK105" s="573"/>
      <c r="BL105" s="573"/>
      <c r="BM105" s="939"/>
    </row>
    <row r="106" spans="1:65" ht="65.099999999999994" customHeight="1">
      <c r="A106" s="953"/>
      <c r="B106" s="949"/>
      <c r="C106" s="686"/>
      <c r="D106" s="401"/>
      <c r="E106" s="401"/>
      <c r="F106" s="948"/>
      <c r="G106" s="947"/>
      <c r="H106" s="375"/>
      <c r="I106" s="375"/>
      <c r="J106" s="375"/>
      <c r="K106" s="402"/>
      <c r="L106" s="403"/>
      <c r="M106" s="689"/>
      <c r="N106" s="943"/>
      <c r="O106" s="945"/>
      <c r="P106" s="943"/>
      <c r="Q106" s="565"/>
      <c r="R106" s="565"/>
      <c r="S106" s="332"/>
      <c r="T106" s="332"/>
      <c r="U106" s="347" t="s">
        <v>1179</v>
      </c>
      <c r="V106" s="408"/>
      <c r="W106" s="408"/>
      <c r="X106" s="408"/>
      <c r="Y106" s="332" t="str">
        <f t="shared" si="13"/>
        <v/>
      </c>
      <c r="Z106" s="408"/>
      <c r="AA106" s="332" t="str">
        <f t="shared" si="14"/>
        <v/>
      </c>
      <c r="AB106" s="332"/>
      <c r="AC106" s="332" t="str">
        <f t="shared" si="15"/>
        <v/>
      </c>
      <c r="AD106" s="332"/>
      <c r="AE106" s="332" t="str">
        <f t="shared" si="16"/>
        <v/>
      </c>
      <c r="AF106" s="332"/>
      <c r="AG106" s="332" t="str">
        <f t="shared" si="17"/>
        <v/>
      </c>
      <c r="AH106" s="332"/>
      <c r="AI106" s="332" t="str">
        <f t="shared" si="18"/>
        <v/>
      </c>
      <c r="AJ106" s="332"/>
      <c r="AK106" s="333" t="str">
        <f t="shared" si="19"/>
        <v/>
      </c>
      <c r="AL106" s="404" t="str">
        <f t="shared" si="20"/>
        <v/>
      </c>
      <c r="AM106" s="404" t="str">
        <f t="shared" si="21"/>
        <v/>
      </c>
      <c r="AN106" s="405"/>
      <c r="AO106" s="405"/>
      <c r="AP106" s="405"/>
      <c r="AQ106" s="405"/>
      <c r="AR106" s="405"/>
      <c r="AS106" s="405"/>
      <c r="AT106" s="405"/>
      <c r="AU106" s="400" t="str">
        <f>IFERROR(VLOOKUP(AT106,'Seguridad Información'!$I$61:$J$65,2,0),"")</f>
        <v/>
      </c>
      <c r="AV106" s="400"/>
      <c r="AW106" s="406" t="str">
        <f t="shared" si="12"/>
        <v/>
      </c>
      <c r="AX106" s="404" t="str">
        <f t="shared" si="22"/>
        <v/>
      </c>
      <c r="AY106" s="406" t="str">
        <f>IFERROR(VLOOKUP((CONCATENATE(AM106,AX106)),Listados!$U$3:$V$11,2,FALSE),"")</f>
        <v/>
      </c>
      <c r="AZ106" s="404">
        <f t="shared" si="23"/>
        <v>100</v>
      </c>
      <c r="BA106" s="942"/>
      <c r="BB106" s="942"/>
      <c r="BC106" s="407">
        <f>+IF(AND(W106="Preventivo",BB103="Fuerte"),2,IF(AND(W106="Preventivo",BB103="Moderado"),1,0))</f>
        <v>0</v>
      </c>
      <c r="BD106" s="407">
        <f>+IF(AND(W106="Detectivo/Correctivo",$BB103="Fuerte"),2,IF(AND(W106="Detectivo/Correctivo",$BB106="Moderado"),1,IF(AND(W106="Preventivo",$BB103="Fuerte"),1,0)))</f>
        <v>0</v>
      </c>
      <c r="BE106" s="407" t="e">
        <f>+N103-BC106</f>
        <v>#N/A</v>
      </c>
      <c r="BF106" s="407" t="e">
        <f>+P103-BD106</f>
        <v>#N/A</v>
      </c>
      <c r="BG106" s="565"/>
      <c r="BH106" s="565"/>
      <c r="BI106" s="565"/>
      <c r="BJ106" s="573"/>
      <c r="BK106" s="573"/>
      <c r="BL106" s="573"/>
      <c r="BM106" s="939"/>
    </row>
    <row r="107" spans="1:65" ht="65.099999999999994" customHeight="1">
      <c r="A107" s="953"/>
      <c r="B107" s="949"/>
      <c r="C107" s="686"/>
      <c r="D107" s="401"/>
      <c r="E107" s="401"/>
      <c r="F107" s="948"/>
      <c r="G107" s="947"/>
      <c r="H107" s="375"/>
      <c r="I107" s="375"/>
      <c r="J107" s="375"/>
      <c r="K107" s="402"/>
      <c r="L107" s="403"/>
      <c r="M107" s="689"/>
      <c r="N107" s="943"/>
      <c r="O107" s="945"/>
      <c r="P107" s="943"/>
      <c r="Q107" s="565"/>
      <c r="R107" s="565"/>
      <c r="S107" s="332"/>
      <c r="T107" s="332"/>
      <c r="U107" s="347" t="s">
        <v>1179</v>
      </c>
      <c r="V107" s="408"/>
      <c r="W107" s="408"/>
      <c r="X107" s="408"/>
      <c r="Y107" s="332" t="str">
        <f t="shared" si="13"/>
        <v/>
      </c>
      <c r="Z107" s="408"/>
      <c r="AA107" s="332" t="str">
        <f t="shared" si="14"/>
        <v/>
      </c>
      <c r="AB107" s="332"/>
      <c r="AC107" s="332" t="str">
        <f t="shared" si="15"/>
        <v/>
      </c>
      <c r="AD107" s="332"/>
      <c r="AE107" s="332" t="str">
        <f t="shared" si="16"/>
        <v/>
      </c>
      <c r="AF107" s="332"/>
      <c r="AG107" s="332" t="str">
        <f t="shared" si="17"/>
        <v/>
      </c>
      <c r="AH107" s="332"/>
      <c r="AI107" s="332" t="str">
        <f t="shared" si="18"/>
        <v/>
      </c>
      <c r="AJ107" s="332"/>
      <c r="AK107" s="333" t="str">
        <f t="shared" si="19"/>
        <v/>
      </c>
      <c r="AL107" s="404" t="str">
        <f t="shared" si="20"/>
        <v/>
      </c>
      <c r="AM107" s="404" t="str">
        <f t="shared" si="21"/>
        <v/>
      </c>
      <c r="AN107" s="405"/>
      <c r="AO107" s="405"/>
      <c r="AP107" s="405"/>
      <c r="AQ107" s="405"/>
      <c r="AR107" s="405"/>
      <c r="AS107" s="405"/>
      <c r="AT107" s="405"/>
      <c r="AU107" s="400" t="str">
        <f>IFERROR(VLOOKUP(AT107,'Seguridad Información'!$I$61:$J$65,2,0),"")</f>
        <v/>
      </c>
      <c r="AV107" s="400"/>
      <c r="AW107" s="406" t="str">
        <f t="shared" si="12"/>
        <v/>
      </c>
      <c r="AX107" s="404" t="str">
        <f t="shared" si="22"/>
        <v/>
      </c>
      <c r="AY107" s="406" t="str">
        <f>IFERROR(VLOOKUP((CONCATENATE(AM107,AX107)),Listados!$U$3:$V$11,2,FALSE),"")</f>
        <v/>
      </c>
      <c r="AZ107" s="404">
        <f t="shared" si="23"/>
        <v>100</v>
      </c>
      <c r="BA107" s="942"/>
      <c r="BB107" s="942"/>
      <c r="BC107" s="407">
        <f>+IF(AND(W107="Preventivo",BB103="Fuerte"),2,IF(AND(W107="Preventivo",BB103="Moderado"),1,0))</f>
        <v>0</v>
      </c>
      <c r="BD107" s="407">
        <f>+IF(AND(W107="Detectivo/Correctivo",$BB103="Fuerte"),2,IF(AND(W107="Detectivo/Correctivo",$BB107="Moderado"),1,IF(AND(W107="Preventivo",$BB103="Fuerte"),1,0)))</f>
        <v>0</v>
      </c>
      <c r="BE107" s="407" t="e">
        <f>+N103-BC107</f>
        <v>#N/A</v>
      </c>
      <c r="BF107" s="407" t="e">
        <f>+P103-BD107</f>
        <v>#N/A</v>
      </c>
      <c r="BG107" s="565"/>
      <c r="BH107" s="565"/>
      <c r="BI107" s="565"/>
      <c r="BJ107" s="573"/>
      <c r="BK107" s="573"/>
      <c r="BL107" s="573"/>
      <c r="BM107" s="939"/>
    </row>
    <row r="108" spans="1:65" ht="65.099999999999994" customHeight="1">
      <c r="A108" s="953"/>
      <c r="B108" s="949"/>
      <c r="C108" s="686"/>
      <c r="D108" s="401"/>
      <c r="E108" s="401"/>
      <c r="F108" s="948"/>
      <c r="G108" s="947"/>
      <c r="H108" s="375"/>
      <c r="I108" s="375"/>
      <c r="J108" s="375"/>
      <c r="K108" s="402"/>
      <c r="L108" s="403"/>
      <c r="M108" s="689"/>
      <c r="N108" s="943"/>
      <c r="O108" s="945"/>
      <c r="P108" s="943"/>
      <c r="Q108" s="565"/>
      <c r="R108" s="565"/>
      <c r="S108" s="332"/>
      <c r="T108" s="332"/>
      <c r="U108" s="347" t="s">
        <v>1179</v>
      </c>
      <c r="V108" s="408"/>
      <c r="W108" s="408"/>
      <c r="X108" s="408"/>
      <c r="Y108" s="332" t="str">
        <f t="shared" si="13"/>
        <v/>
      </c>
      <c r="Z108" s="408"/>
      <c r="AA108" s="332" t="str">
        <f t="shared" si="14"/>
        <v/>
      </c>
      <c r="AB108" s="332"/>
      <c r="AC108" s="332" t="str">
        <f t="shared" si="15"/>
        <v/>
      </c>
      <c r="AD108" s="332"/>
      <c r="AE108" s="332" t="str">
        <f t="shared" si="16"/>
        <v/>
      </c>
      <c r="AF108" s="332"/>
      <c r="AG108" s="332" t="str">
        <f t="shared" si="17"/>
        <v/>
      </c>
      <c r="AH108" s="332"/>
      <c r="AI108" s="332" t="str">
        <f t="shared" si="18"/>
        <v/>
      </c>
      <c r="AJ108" s="332"/>
      <c r="AK108" s="333" t="str">
        <f t="shared" si="19"/>
        <v/>
      </c>
      <c r="AL108" s="404" t="str">
        <f t="shared" si="20"/>
        <v/>
      </c>
      <c r="AM108" s="404" t="str">
        <f t="shared" si="21"/>
        <v/>
      </c>
      <c r="AN108" s="405"/>
      <c r="AO108" s="405"/>
      <c r="AP108" s="405"/>
      <c r="AQ108" s="405"/>
      <c r="AR108" s="405"/>
      <c r="AS108" s="405"/>
      <c r="AT108" s="405"/>
      <c r="AU108" s="400" t="str">
        <f>IFERROR(VLOOKUP(AT108,'Seguridad Información'!$I$61:$J$65,2,0),"")</f>
        <v/>
      </c>
      <c r="AV108" s="400"/>
      <c r="AW108" s="406" t="str">
        <f t="shared" si="12"/>
        <v/>
      </c>
      <c r="AX108" s="404" t="str">
        <f t="shared" si="22"/>
        <v/>
      </c>
      <c r="AY108" s="406" t="str">
        <f>IFERROR(VLOOKUP((CONCATENATE(AM108,AX108)),Listados!$U$3:$V$11,2,FALSE),"")</f>
        <v/>
      </c>
      <c r="AZ108" s="404">
        <f t="shared" si="23"/>
        <v>100</v>
      </c>
      <c r="BA108" s="942"/>
      <c r="BB108" s="942"/>
      <c r="BC108" s="407">
        <f>+IF(AND(W108="Preventivo",BB103="Fuerte"),2,IF(AND(W108="Preventivo",BB103="Moderado"),1,0))</f>
        <v>0</v>
      </c>
      <c r="BD108" s="407">
        <f>+IF(AND(W108="Detectivo/Correctivo",$BB103="Fuerte"),2,IF(AND(W108="Detectivo/Correctivo",$BB108="Moderado"),1,IF(AND(W108="Preventivo",$BB103="Fuerte"),1,0)))</f>
        <v>0</v>
      </c>
      <c r="BE108" s="407" t="e">
        <f>+N103-BC108</f>
        <v>#N/A</v>
      </c>
      <c r="BF108" s="407" t="e">
        <f>+P103-BD108</f>
        <v>#N/A</v>
      </c>
      <c r="BG108" s="565"/>
      <c r="BH108" s="565"/>
      <c r="BI108" s="565"/>
      <c r="BJ108" s="573"/>
      <c r="BK108" s="573"/>
      <c r="BL108" s="573"/>
      <c r="BM108" s="939"/>
    </row>
    <row r="109" spans="1:65" ht="65.099999999999994" customHeight="1">
      <c r="A109" s="953">
        <v>18</v>
      </c>
      <c r="B109" s="949"/>
      <c r="C109" s="686" t="str">
        <f>IFERROR(VLOOKUP(B109,Listados!B$3:C$20,2,FALSE),"")</f>
        <v/>
      </c>
      <c r="D109" s="401"/>
      <c r="E109" s="401"/>
      <c r="F109" s="948"/>
      <c r="G109" s="947"/>
      <c r="H109" s="375"/>
      <c r="I109" s="375"/>
      <c r="J109" s="375"/>
      <c r="K109" s="402"/>
      <c r="L109" s="403"/>
      <c r="M109" s="689"/>
      <c r="N109" s="943" t="e">
        <f>+VLOOKUP(M109,Listados!$K$8:$L$12,2,0)</f>
        <v>#N/A</v>
      </c>
      <c r="O109" s="945"/>
      <c r="P109" s="943" t="e">
        <f>+VLOOKUP(O109,Listados!$K$13:$L$17,2,0)</f>
        <v>#N/A</v>
      </c>
      <c r="Q109" s="565" t="str">
        <f>IF(AND(M109&lt;&gt;"",O109&lt;&gt;""),VLOOKUP(M109&amp;O109,Listados!$M$3:$N$27,2,FALSE),"")</f>
        <v/>
      </c>
      <c r="R109" s="565" t="e">
        <f>+VLOOKUP(Q109,Listados!$P$3:$Q$6,2,FALSE)</f>
        <v>#N/A</v>
      </c>
      <c r="S109" s="332"/>
      <c r="T109" s="332"/>
      <c r="U109" s="347" t="s">
        <v>1179</v>
      </c>
      <c r="V109" s="408"/>
      <c r="W109" s="408"/>
      <c r="X109" s="408"/>
      <c r="Y109" s="332" t="str">
        <f t="shared" si="13"/>
        <v/>
      </c>
      <c r="Z109" s="408"/>
      <c r="AA109" s="332" t="str">
        <f t="shared" si="14"/>
        <v/>
      </c>
      <c r="AB109" s="332"/>
      <c r="AC109" s="332" t="str">
        <f t="shared" si="15"/>
        <v/>
      </c>
      <c r="AD109" s="332"/>
      <c r="AE109" s="332" t="str">
        <f t="shared" si="16"/>
        <v/>
      </c>
      <c r="AF109" s="332"/>
      <c r="AG109" s="332" t="str">
        <f t="shared" si="17"/>
        <v/>
      </c>
      <c r="AH109" s="332"/>
      <c r="AI109" s="332" t="str">
        <f t="shared" si="18"/>
        <v/>
      </c>
      <c r="AJ109" s="332"/>
      <c r="AK109" s="333" t="str">
        <f t="shared" si="19"/>
        <v/>
      </c>
      <c r="AL109" s="404" t="str">
        <f t="shared" si="20"/>
        <v/>
      </c>
      <c r="AM109" s="404" t="str">
        <f t="shared" si="21"/>
        <v/>
      </c>
      <c r="AN109" s="405"/>
      <c r="AO109" s="405"/>
      <c r="AP109" s="405"/>
      <c r="AQ109" s="405"/>
      <c r="AR109" s="405"/>
      <c r="AS109" s="405"/>
      <c r="AT109" s="405"/>
      <c r="AU109" s="400" t="str">
        <f>IFERROR(VLOOKUP(AT109,'Seguridad Información'!$I$61:$J$65,2,0),"")</f>
        <v/>
      </c>
      <c r="AV109" s="400"/>
      <c r="AW109" s="406" t="str">
        <f t="shared" si="12"/>
        <v/>
      </c>
      <c r="AX109" s="404" t="str">
        <f t="shared" si="22"/>
        <v/>
      </c>
      <c r="AY109" s="406" t="str">
        <f>IFERROR(VLOOKUP((CONCATENATE(AM109,AX109)),Listados!$U$3:$V$11,2,FALSE),"")</f>
        <v/>
      </c>
      <c r="AZ109" s="404">
        <f t="shared" si="23"/>
        <v>100</v>
      </c>
      <c r="BA109" s="942">
        <f>AVERAGE(AZ109:AZ114)</f>
        <v>100</v>
      </c>
      <c r="BB109" s="942" t="str">
        <f>IF(BA109&lt;=50, "Débil", IF(BA109&lt;=99,"Moderado","Fuerte"))</f>
        <v>Fuerte</v>
      </c>
      <c r="BC109" s="407">
        <f>+IF(AND(W109="Preventivo",BB109="Fuerte"),2,IF(AND(W109="Preventivo",BB109="Moderado"),1,0))</f>
        <v>0</v>
      </c>
      <c r="BD109" s="407">
        <f>+IF(AND(W109="Detectivo/Correctivo",$BB109="Fuerte"),2,IF(AND(W109="Detectivo/Correctivo",$BB109="Moderado"),1,IF(AND(W109="Preventivo",$BB109="Fuerte"),1,0)))</f>
        <v>0</v>
      </c>
      <c r="BE109" s="407" t="e">
        <f>+N109-BC109</f>
        <v>#N/A</v>
      </c>
      <c r="BF109" s="407" t="e">
        <f>+P109-BD109</f>
        <v>#N/A</v>
      </c>
      <c r="BG109" s="565" t="e">
        <f>+VLOOKUP(MIN(BE109,BE110,BE111,BE112,BE113,BE114),Listados!$J$18:$K$24,2,TRUE)</f>
        <v>#N/A</v>
      </c>
      <c r="BH109" s="565" t="e">
        <f>+VLOOKUP(MIN(BF109,BF110,BF111,BF112,BF113,BF114),Listados!$J$27:$K$32,2,TRUE)</f>
        <v>#N/A</v>
      </c>
      <c r="BI109" s="565" t="e">
        <f>IF(AND(BG109&lt;&gt;"",BH109&lt;&gt;""),VLOOKUP(BG109&amp;BH109,Listados!$M$3:$N$27,2,FALSE),"")</f>
        <v>#N/A</v>
      </c>
      <c r="BJ109" s="573" t="e">
        <f>+IF($R109="Asumir el riesgo","NA","")</f>
        <v>#N/A</v>
      </c>
      <c r="BK109" s="573" t="e">
        <f>+IF($R109="Asumir el riesgo","NA","")</f>
        <v>#N/A</v>
      </c>
      <c r="BL109" s="573" t="e">
        <f>+IF($R109="Asumir el riesgo","NA","")</f>
        <v>#N/A</v>
      </c>
      <c r="BM109" s="939" t="e">
        <f>+IF($R109="Asumir el riesgo","NA","")</f>
        <v>#N/A</v>
      </c>
    </row>
    <row r="110" spans="1:65" ht="65.099999999999994" customHeight="1">
      <c r="A110" s="953"/>
      <c r="B110" s="949"/>
      <c r="C110" s="686"/>
      <c r="D110" s="401"/>
      <c r="E110" s="401"/>
      <c r="F110" s="948"/>
      <c r="G110" s="947"/>
      <c r="H110" s="375"/>
      <c r="I110" s="375"/>
      <c r="J110" s="375"/>
      <c r="K110" s="402"/>
      <c r="L110" s="403"/>
      <c r="M110" s="689"/>
      <c r="N110" s="943"/>
      <c r="O110" s="945"/>
      <c r="P110" s="943"/>
      <c r="Q110" s="565"/>
      <c r="R110" s="565"/>
      <c r="S110" s="332"/>
      <c r="T110" s="332"/>
      <c r="U110" s="347" t="s">
        <v>1179</v>
      </c>
      <c r="V110" s="408"/>
      <c r="W110" s="408"/>
      <c r="X110" s="408"/>
      <c r="Y110" s="332" t="str">
        <f t="shared" si="13"/>
        <v/>
      </c>
      <c r="Z110" s="408"/>
      <c r="AA110" s="332" t="str">
        <f t="shared" si="14"/>
        <v/>
      </c>
      <c r="AB110" s="332"/>
      <c r="AC110" s="332" t="str">
        <f t="shared" si="15"/>
        <v/>
      </c>
      <c r="AD110" s="332"/>
      <c r="AE110" s="332" t="str">
        <f t="shared" si="16"/>
        <v/>
      </c>
      <c r="AF110" s="332"/>
      <c r="AG110" s="332" t="str">
        <f t="shared" si="17"/>
        <v/>
      </c>
      <c r="AH110" s="332"/>
      <c r="AI110" s="332" t="str">
        <f t="shared" si="18"/>
        <v/>
      </c>
      <c r="AJ110" s="332"/>
      <c r="AK110" s="333" t="str">
        <f t="shared" si="19"/>
        <v/>
      </c>
      <c r="AL110" s="404" t="str">
        <f t="shared" si="20"/>
        <v/>
      </c>
      <c r="AM110" s="404" t="str">
        <f t="shared" si="21"/>
        <v/>
      </c>
      <c r="AN110" s="405"/>
      <c r="AO110" s="405"/>
      <c r="AP110" s="405"/>
      <c r="AQ110" s="405"/>
      <c r="AR110" s="405"/>
      <c r="AS110" s="405"/>
      <c r="AT110" s="405"/>
      <c r="AU110" s="400" t="str">
        <f>IFERROR(VLOOKUP(AT110,'Seguridad Información'!$I$61:$J$65,2,0),"")</f>
        <v/>
      </c>
      <c r="AV110" s="400"/>
      <c r="AW110" s="406" t="str">
        <f t="shared" si="12"/>
        <v/>
      </c>
      <c r="AX110" s="404" t="str">
        <f t="shared" si="22"/>
        <v/>
      </c>
      <c r="AY110" s="406" t="str">
        <f>IFERROR(VLOOKUP((CONCATENATE(AM110,AX110)),Listados!$U$3:$V$11,2,FALSE),"")</f>
        <v/>
      </c>
      <c r="AZ110" s="404">
        <f t="shared" si="23"/>
        <v>100</v>
      </c>
      <c r="BA110" s="942"/>
      <c r="BB110" s="942"/>
      <c r="BC110" s="407">
        <f>+IF(AND(W110="Preventivo",BB109="Fuerte"),2,IF(AND(W110="Preventivo",BB109="Moderado"),1,0))</f>
        <v>0</v>
      </c>
      <c r="BD110" s="407">
        <f>+IF(AND(W110="Detectivo/Correctivo",$BB109="Fuerte"),2,IF(AND(W110="Detectivo/Correctivo",$BB110="Moderado"),1,IF(AND(W110="Preventivo",$BB109="Fuerte"),1,0)))</f>
        <v>0</v>
      </c>
      <c r="BE110" s="407" t="e">
        <f>+N109-BC110</f>
        <v>#N/A</v>
      </c>
      <c r="BF110" s="407" t="e">
        <f>+P109-BD110</f>
        <v>#N/A</v>
      </c>
      <c r="BG110" s="565"/>
      <c r="BH110" s="565"/>
      <c r="BI110" s="565"/>
      <c r="BJ110" s="573"/>
      <c r="BK110" s="573"/>
      <c r="BL110" s="573"/>
      <c r="BM110" s="939"/>
    </row>
    <row r="111" spans="1:65" ht="65.099999999999994" customHeight="1">
      <c r="A111" s="953"/>
      <c r="B111" s="949"/>
      <c r="C111" s="686"/>
      <c r="D111" s="401"/>
      <c r="E111" s="401"/>
      <c r="F111" s="948"/>
      <c r="G111" s="947"/>
      <c r="H111" s="375"/>
      <c r="I111" s="375"/>
      <c r="J111" s="375"/>
      <c r="K111" s="402"/>
      <c r="L111" s="403"/>
      <c r="M111" s="689"/>
      <c r="N111" s="943"/>
      <c r="O111" s="945"/>
      <c r="P111" s="943"/>
      <c r="Q111" s="565"/>
      <c r="R111" s="565"/>
      <c r="S111" s="332"/>
      <c r="T111" s="332"/>
      <c r="U111" s="347" t="s">
        <v>1179</v>
      </c>
      <c r="V111" s="408"/>
      <c r="W111" s="408"/>
      <c r="X111" s="408"/>
      <c r="Y111" s="332" t="str">
        <f t="shared" si="13"/>
        <v/>
      </c>
      <c r="Z111" s="408"/>
      <c r="AA111" s="332" t="str">
        <f t="shared" si="14"/>
        <v/>
      </c>
      <c r="AB111" s="332"/>
      <c r="AC111" s="332" t="str">
        <f t="shared" si="15"/>
        <v/>
      </c>
      <c r="AD111" s="332"/>
      <c r="AE111" s="332" t="str">
        <f t="shared" si="16"/>
        <v/>
      </c>
      <c r="AF111" s="332"/>
      <c r="AG111" s="332" t="str">
        <f t="shared" si="17"/>
        <v/>
      </c>
      <c r="AH111" s="332"/>
      <c r="AI111" s="332" t="str">
        <f t="shared" si="18"/>
        <v/>
      </c>
      <c r="AJ111" s="332"/>
      <c r="AK111" s="333" t="str">
        <f t="shared" si="19"/>
        <v/>
      </c>
      <c r="AL111" s="404" t="str">
        <f t="shared" si="20"/>
        <v/>
      </c>
      <c r="AM111" s="404" t="str">
        <f t="shared" si="21"/>
        <v/>
      </c>
      <c r="AN111" s="405"/>
      <c r="AO111" s="405"/>
      <c r="AP111" s="405"/>
      <c r="AQ111" s="405"/>
      <c r="AR111" s="405"/>
      <c r="AS111" s="405"/>
      <c r="AT111" s="405"/>
      <c r="AU111" s="400" t="str">
        <f>IFERROR(VLOOKUP(AT111,'Seguridad Información'!$I$61:$J$65,2,0),"")</f>
        <v/>
      </c>
      <c r="AV111" s="400"/>
      <c r="AW111" s="406" t="str">
        <f t="shared" si="12"/>
        <v/>
      </c>
      <c r="AX111" s="404" t="str">
        <f t="shared" si="22"/>
        <v/>
      </c>
      <c r="AY111" s="406" t="str">
        <f>IFERROR(VLOOKUP((CONCATENATE(AM111,AX111)),Listados!$U$3:$V$11,2,FALSE),"")</f>
        <v/>
      </c>
      <c r="AZ111" s="404">
        <f t="shared" si="23"/>
        <v>100</v>
      </c>
      <c r="BA111" s="942"/>
      <c r="BB111" s="942"/>
      <c r="BC111" s="407">
        <f>+IF(AND(W111="Preventivo",BB109="Fuerte"),2,IF(AND(W111="Preventivo",BB109="Moderado"),1,0))</f>
        <v>0</v>
      </c>
      <c r="BD111" s="407">
        <f>+IF(AND(W111="Detectivo/Correctivo",$BB109="Fuerte"),2,IF(AND(W111="Detectivo/Correctivo",$BB111="Moderado"),1,IF(AND(W111="Preventivo",$BB109="Fuerte"),1,0)))</f>
        <v>0</v>
      </c>
      <c r="BE111" s="407" t="e">
        <f>+N109-BC111</f>
        <v>#N/A</v>
      </c>
      <c r="BF111" s="407" t="e">
        <f>+P109-BD111</f>
        <v>#N/A</v>
      </c>
      <c r="BG111" s="565"/>
      <c r="BH111" s="565"/>
      <c r="BI111" s="565"/>
      <c r="BJ111" s="573"/>
      <c r="BK111" s="573"/>
      <c r="BL111" s="573"/>
      <c r="BM111" s="939"/>
    </row>
    <row r="112" spans="1:65" ht="65.099999999999994" customHeight="1">
      <c r="A112" s="953"/>
      <c r="B112" s="949"/>
      <c r="C112" s="686"/>
      <c r="D112" s="401"/>
      <c r="E112" s="401"/>
      <c r="F112" s="948"/>
      <c r="G112" s="947"/>
      <c r="H112" s="375"/>
      <c r="I112" s="375"/>
      <c r="J112" s="375"/>
      <c r="K112" s="402"/>
      <c r="L112" s="403"/>
      <c r="M112" s="689"/>
      <c r="N112" s="943"/>
      <c r="O112" s="945"/>
      <c r="P112" s="943"/>
      <c r="Q112" s="565"/>
      <c r="R112" s="565"/>
      <c r="S112" s="332"/>
      <c r="T112" s="332"/>
      <c r="U112" s="347" t="s">
        <v>1179</v>
      </c>
      <c r="V112" s="408"/>
      <c r="W112" s="408"/>
      <c r="X112" s="408"/>
      <c r="Y112" s="332" t="str">
        <f t="shared" si="13"/>
        <v/>
      </c>
      <c r="Z112" s="408"/>
      <c r="AA112" s="332" t="str">
        <f t="shared" si="14"/>
        <v/>
      </c>
      <c r="AB112" s="332"/>
      <c r="AC112" s="332" t="str">
        <f t="shared" si="15"/>
        <v/>
      </c>
      <c r="AD112" s="332"/>
      <c r="AE112" s="332" t="str">
        <f t="shared" si="16"/>
        <v/>
      </c>
      <c r="AF112" s="332"/>
      <c r="AG112" s="332" t="str">
        <f t="shared" si="17"/>
        <v/>
      </c>
      <c r="AH112" s="332"/>
      <c r="AI112" s="332" t="str">
        <f t="shared" si="18"/>
        <v/>
      </c>
      <c r="AJ112" s="332"/>
      <c r="AK112" s="333" t="str">
        <f t="shared" si="19"/>
        <v/>
      </c>
      <c r="AL112" s="404" t="str">
        <f t="shared" si="20"/>
        <v/>
      </c>
      <c r="AM112" s="404" t="str">
        <f t="shared" si="21"/>
        <v/>
      </c>
      <c r="AN112" s="405"/>
      <c r="AO112" s="405"/>
      <c r="AP112" s="405"/>
      <c r="AQ112" s="405"/>
      <c r="AR112" s="405"/>
      <c r="AS112" s="405"/>
      <c r="AT112" s="405"/>
      <c r="AU112" s="400" t="str">
        <f>IFERROR(VLOOKUP(AT112,'Seguridad Información'!$I$61:$J$65,2,0),"")</f>
        <v/>
      </c>
      <c r="AV112" s="400"/>
      <c r="AW112" s="406" t="str">
        <f t="shared" si="12"/>
        <v/>
      </c>
      <c r="AX112" s="404" t="str">
        <f t="shared" si="22"/>
        <v/>
      </c>
      <c r="AY112" s="406" t="str">
        <f>IFERROR(VLOOKUP((CONCATENATE(AM112,AX112)),Listados!$U$3:$V$11,2,FALSE),"")</f>
        <v/>
      </c>
      <c r="AZ112" s="404">
        <f t="shared" si="23"/>
        <v>100</v>
      </c>
      <c r="BA112" s="942"/>
      <c r="BB112" s="942"/>
      <c r="BC112" s="407">
        <f>+IF(AND(W112="Preventivo",BB109="Fuerte"),2,IF(AND(W112="Preventivo",BB109="Moderado"),1,0))</f>
        <v>0</v>
      </c>
      <c r="BD112" s="407">
        <f>+IF(AND(W112="Detectivo/Correctivo",$BB109="Fuerte"),2,IF(AND(W112="Detectivo/Correctivo",$BB112="Moderado"),1,IF(AND(W112="Preventivo",$BB109="Fuerte"),1,0)))</f>
        <v>0</v>
      </c>
      <c r="BE112" s="407" t="e">
        <f>+N109-BC112</f>
        <v>#N/A</v>
      </c>
      <c r="BF112" s="407" t="e">
        <f>+P109-BD112</f>
        <v>#N/A</v>
      </c>
      <c r="BG112" s="565"/>
      <c r="BH112" s="565"/>
      <c r="BI112" s="565"/>
      <c r="BJ112" s="573"/>
      <c r="BK112" s="573"/>
      <c r="BL112" s="573"/>
      <c r="BM112" s="939"/>
    </row>
    <row r="113" spans="1:65" ht="65.099999999999994" customHeight="1">
      <c r="A113" s="953"/>
      <c r="B113" s="949"/>
      <c r="C113" s="686"/>
      <c r="D113" s="401"/>
      <c r="E113" s="401"/>
      <c r="F113" s="948"/>
      <c r="G113" s="947"/>
      <c r="H113" s="375"/>
      <c r="I113" s="375"/>
      <c r="J113" s="375"/>
      <c r="K113" s="402"/>
      <c r="L113" s="403"/>
      <c r="M113" s="689"/>
      <c r="N113" s="943"/>
      <c r="O113" s="945"/>
      <c r="P113" s="943"/>
      <c r="Q113" s="565"/>
      <c r="R113" s="565"/>
      <c r="S113" s="332"/>
      <c r="T113" s="332"/>
      <c r="U113" s="347" t="s">
        <v>1179</v>
      </c>
      <c r="V113" s="408"/>
      <c r="W113" s="408"/>
      <c r="X113" s="408"/>
      <c r="Y113" s="332" t="str">
        <f t="shared" si="13"/>
        <v/>
      </c>
      <c r="Z113" s="408"/>
      <c r="AA113" s="332" t="str">
        <f t="shared" si="14"/>
        <v/>
      </c>
      <c r="AB113" s="332"/>
      <c r="AC113" s="332" t="str">
        <f t="shared" si="15"/>
        <v/>
      </c>
      <c r="AD113" s="332"/>
      <c r="AE113" s="332" t="str">
        <f t="shared" si="16"/>
        <v/>
      </c>
      <c r="AF113" s="332"/>
      <c r="AG113" s="332" t="str">
        <f t="shared" si="17"/>
        <v/>
      </c>
      <c r="AH113" s="332"/>
      <c r="AI113" s="332" t="str">
        <f t="shared" si="18"/>
        <v/>
      </c>
      <c r="AJ113" s="332"/>
      <c r="AK113" s="333" t="str">
        <f t="shared" si="19"/>
        <v/>
      </c>
      <c r="AL113" s="404" t="str">
        <f t="shared" si="20"/>
        <v/>
      </c>
      <c r="AM113" s="404" t="str">
        <f t="shared" si="21"/>
        <v/>
      </c>
      <c r="AN113" s="405"/>
      <c r="AO113" s="405"/>
      <c r="AP113" s="405"/>
      <c r="AQ113" s="405"/>
      <c r="AR113" s="405"/>
      <c r="AS113" s="405"/>
      <c r="AT113" s="405"/>
      <c r="AU113" s="400" t="str">
        <f>IFERROR(VLOOKUP(AT113,'Seguridad Información'!$I$61:$J$65,2,0),"")</f>
        <v/>
      </c>
      <c r="AV113" s="400"/>
      <c r="AW113" s="406" t="str">
        <f t="shared" si="12"/>
        <v/>
      </c>
      <c r="AX113" s="404" t="str">
        <f t="shared" si="22"/>
        <v/>
      </c>
      <c r="AY113" s="406" t="str">
        <f>IFERROR(VLOOKUP((CONCATENATE(AM113,AX113)),Listados!$U$3:$V$11,2,FALSE),"")</f>
        <v/>
      </c>
      <c r="AZ113" s="404">
        <f t="shared" si="23"/>
        <v>100</v>
      </c>
      <c r="BA113" s="942"/>
      <c r="BB113" s="942"/>
      <c r="BC113" s="407">
        <f>+IF(AND(W113="Preventivo",BB109="Fuerte"),2,IF(AND(W113="Preventivo",BB109="Moderado"),1,0))</f>
        <v>0</v>
      </c>
      <c r="BD113" s="407">
        <f>+IF(AND(W113="Detectivo/Correctivo",$BB109="Fuerte"),2,IF(AND(W113="Detectivo/Correctivo",$BB113="Moderado"),1,IF(AND(W113="Preventivo",$BB109="Fuerte"),1,0)))</f>
        <v>0</v>
      </c>
      <c r="BE113" s="407" t="e">
        <f>+N109-BC113</f>
        <v>#N/A</v>
      </c>
      <c r="BF113" s="407" t="e">
        <f>+P109-BD113</f>
        <v>#N/A</v>
      </c>
      <c r="BG113" s="565"/>
      <c r="BH113" s="565"/>
      <c r="BI113" s="565"/>
      <c r="BJ113" s="573"/>
      <c r="BK113" s="573"/>
      <c r="BL113" s="573"/>
      <c r="BM113" s="939"/>
    </row>
    <row r="114" spans="1:65" ht="65.099999999999994" customHeight="1">
      <c r="A114" s="953"/>
      <c r="B114" s="949"/>
      <c r="C114" s="686"/>
      <c r="D114" s="401"/>
      <c r="E114" s="401"/>
      <c r="F114" s="948"/>
      <c r="G114" s="947"/>
      <c r="H114" s="375"/>
      <c r="I114" s="375"/>
      <c r="J114" s="375"/>
      <c r="K114" s="402"/>
      <c r="L114" s="403"/>
      <c r="M114" s="689"/>
      <c r="N114" s="943"/>
      <c r="O114" s="945"/>
      <c r="P114" s="943"/>
      <c r="Q114" s="565"/>
      <c r="R114" s="565"/>
      <c r="S114" s="332"/>
      <c r="T114" s="332"/>
      <c r="U114" s="347" t="s">
        <v>1179</v>
      </c>
      <c r="V114" s="408"/>
      <c r="W114" s="408"/>
      <c r="X114" s="408"/>
      <c r="Y114" s="332" t="str">
        <f t="shared" si="13"/>
        <v/>
      </c>
      <c r="Z114" s="408"/>
      <c r="AA114" s="332" t="str">
        <f t="shared" si="14"/>
        <v/>
      </c>
      <c r="AB114" s="332"/>
      <c r="AC114" s="332" t="str">
        <f t="shared" si="15"/>
        <v/>
      </c>
      <c r="AD114" s="332"/>
      <c r="AE114" s="332" t="str">
        <f t="shared" si="16"/>
        <v/>
      </c>
      <c r="AF114" s="332"/>
      <c r="AG114" s="332" t="str">
        <f t="shared" si="17"/>
        <v/>
      </c>
      <c r="AH114" s="332"/>
      <c r="AI114" s="332" t="str">
        <f t="shared" si="18"/>
        <v/>
      </c>
      <c r="AJ114" s="332"/>
      <c r="AK114" s="333" t="str">
        <f t="shared" si="19"/>
        <v/>
      </c>
      <c r="AL114" s="404" t="str">
        <f t="shared" si="20"/>
        <v/>
      </c>
      <c r="AM114" s="404" t="str">
        <f t="shared" si="21"/>
        <v/>
      </c>
      <c r="AN114" s="405"/>
      <c r="AO114" s="405"/>
      <c r="AP114" s="405"/>
      <c r="AQ114" s="405"/>
      <c r="AR114" s="405"/>
      <c r="AS114" s="405"/>
      <c r="AT114" s="405"/>
      <c r="AU114" s="400" t="str">
        <f>IFERROR(VLOOKUP(AT114,'Seguridad Información'!$I$61:$J$65,2,0),"")</f>
        <v/>
      </c>
      <c r="AV114" s="400"/>
      <c r="AW114" s="406" t="str">
        <f t="shared" si="12"/>
        <v/>
      </c>
      <c r="AX114" s="404" t="str">
        <f t="shared" si="22"/>
        <v/>
      </c>
      <c r="AY114" s="406" t="str">
        <f>IFERROR(VLOOKUP((CONCATENATE(AM114,AX114)),Listados!$U$3:$V$11,2,FALSE),"")</f>
        <v/>
      </c>
      <c r="AZ114" s="404">
        <f t="shared" si="23"/>
        <v>100</v>
      </c>
      <c r="BA114" s="942"/>
      <c r="BB114" s="942"/>
      <c r="BC114" s="407">
        <f>+IF(AND(W114="Preventivo",BB109="Fuerte"),2,IF(AND(W114="Preventivo",BB109="Moderado"),1,0))</f>
        <v>0</v>
      </c>
      <c r="BD114" s="407">
        <f>+IF(AND(W114="Detectivo/Correctivo",$BB109="Fuerte"),2,IF(AND(W114="Detectivo/Correctivo",$BB114="Moderado"),1,IF(AND(W114="Preventivo",$BB109="Fuerte"),1,0)))</f>
        <v>0</v>
      </c>
      <c r="BE114" s="407" t="e">
        <f>+N109-BC114</f>
        <v>#N/A</v>
      </c>
      <c r="BF114" s="407" t="e">
        <f>+P109-BD114</f>
        <v>#N/A</v>
      </c>
      <c r="BG114" s="565"/>
      <c r="BH114" s="565"/>
      <c r="BI114" s="565"/>
      <c r="BJ114" s="573"/>
      <c r="BK114" s="573"/>
      <c r="BL114" s="573"/>
      <c r="BM114" s="939"/>
    </row>
    <row r="115" spans="1:65" ht="65.099999999999994" customHeight="1">
      <c r="A115" s="953">
        <v>19</v>
      </c>
      <c r="B115" s="949"/>
      <c r="C115" s="686" t="str">
        <f>IFERROR(VLOOKUP(B115,Listados!B$3:C$20,2,FALSE),"")</f>
        <v/>
      </c>
      <c r="D115" s="401"/>
      <c r="E115" s="401"/>
      <c r="F115" s="948"/>
      <c r="G115" s="947"/>
      <c r="H115" s="375"/>
      <c r="I115" s="375"/>
      <c r="J115" s="375"/>
      <c r="K115" s="402"/>
      <c r="L115" s="403"/>
      <c r="M115" s="689"/>
      <c r="N115" s="943" t="e">
        <f>+VLOOKUP(M115,Listados!$K$8:$L$12,2,0)</f>
        <v>#N/A</v>
      </c>
      <c r="O115" s="945"/>
      <c r="P115" s="943" t="e">
        <f>+VLOOKUP(O115,Listados!$K$13:$L$17,2,0)</f>
        <v>#N/A</v>
      </c>
      <c r="Q115" s="565" t="str">
        <f>IF(AND(M115&lt;&gt;"",O115&lt;&gt;""),VLOOKUP(M115&amp;O115,Listados!$M$3:$N$27,2,FALSE),"")</f>
        <v/>
      </c>
      <c r="R115" s="565" t="e">
        <f>+VLOOKUP(Q115,Listados!$P$3:$Q$6,2,FALSE)</f>
        <v>#N/A</v>
      </c>
      <c r="S115" s="332"/>
      <c r="T115" s="332"/>
      <c r="U115" s="347" t="s">
        <v>1179</v>
      </c>
      <c r="V115" s="408"/>
      <c r="W115" s="408"/>
      <c r="X115" s="408"/>
      <c r="Y115" s="332" t="str">
        <f t="shared" si="13"/>
        <v/>
      </c>
      <c r="Z115" s="408"/>
      <c r="AA115" s="332" t="str">
        <f t="shared" si="14"/>
        <v/>
      </c>
      <c r="AB115" s="332"/>
      <c r="AC115" s="332" t="str">
        <f t="shared" si="15"/>
        <v/>
      </c>
      <c r="AD115" s="332"/>
      <c r="AE115" s="332" t="str">
        <f t="shared" si="16"/>
        <v/>
      </c>
      <c r="AF115" s="332"/>
      <c r="AG115" s="332" t="str">
        <f t="shared" si="17"/>
        <v/>
      </c>
      <c r="AH115" s="332"/>
      <c r="AI115" s="332" t="str">
        <f t="shared" si="18"/>
        <v/>
      </c>
      <c r="AJ115" s="332"/>
      <c r="AK115" s="333" t="str">
        <f t="shared" si="19"/>
        <v/>
      </c>
      <c r="AL115" s="404" t="str">
        <f t="shared" si="20"/>
        <v/>
      </c>
      <c r="AM115" s="404" t="str">
        <f t="shared" si="21"/>
        <v/>
      </c>
      <c r="AN115" s="405"/>
      <c r="AO115" s="405"/>
      <c r="AP115" s="405"/>
      <c r="AQ115" s="405"/>
      <c r="AR115" s="405"/>
      <c r="AS115" s="405"/>
      <c r="AT115" s="405"/>
      <c r="AU115" s="400" t="str">
        <f>IFERROR(VLOOKUP(AT115,'Seguridad Información'!$I$61:$J$65,2,0),"")</f>
        <v/>
      </c>
      <c r="AV115" s="400"/>
      <c r="AW115" s="406" t="str">
        <f t="shared" si="12"/>
        <v/>
      </c>
      <c r="AX115" s="404" t="str">
        <f t="shared" si="22"/>
        <v/>
      </c>
      <c r="AY115" s="406" t="str">
        <f>IFERROR(VLOOKUP((CONCATENATE(AM115,AX115)),Listados!$U$3:$V$11,2,FALSE),"")</f>
        <v/>
      </c>
      <c r="AZ115" s="404">
        <f t="shared" si="23"/>
        <v>100</v>
      </c>
      <c r="BA115" s="942">
        <f>AVERAGE(AZ115:AZ120)</f>
        <v>100</v>
      </c>
      <c r="BB115" s="942" t="str">
        <f>IF(BA115&lt;=50, "Débil", IF(BA115&lt;=99,"Moderado","Fuerte"))</f>
        <v>Fuerte</v>
      </c>
      <c r="BC115" s="407">
        <f>+IF(AND(W115="Preventivo",BB115="Fuerte"),2,IF(AND(W115="Preventivo",BB115="Moderado"),1,0))</f>
        <v>0</v>
      </c>
      <c r="BD115" s="407">
        <f>+IF(AND(W115="Detectivo/Correctivo",$BB115="Fuerte"),2,IF(AND(W115="Detectivo/Correctivo",$BB115="Moderado"),1,IF(AND(W115="Preventivo",$BB115="Fuerte"),1,0)))</f>
        <v>0</v>
      </c>
      <c r="BE115" s="407" t="e">
        <f>+N115-BC115</f>
        <v>#N/A</v>
      </c>
      <c r="BF115" s="407" t="e">
        <f>+P115-BD115</f>
        <v>#N/A</v>
      </c>
      <c r="BG115" s="565" t="e">
        <f>+VLOOKUP(MIN(BE115,BE116,BE117,BE118,BE119,BE120),Listados!$J$18:$K$24,2,TRUE)</f>
        <v>#N/A</v>
      </c>
      <c r="BH115" s="565" t="e">
        <f>+VLOOKUP(MIN(BF115,BF116,BF117,BF118,BF119,BF120),Listados!$J$27:$K$32,2,TRUE)</f>
        <v>#N/A</v>
      </c>
      <c r="BI115" s="565" t="e">
        <f>IF(AND(BG115&lt;&gt;"",BH115&lt;&gt;""),VLOOKUP(BG115&amp;BH115,Listados!$M$3:$N$27,2,FALSE),"")</f>
        <v>#N/A</v>
      </c>
      <c r="BJ115" s="573" t="e">
        <f>+IF($R115="Asumir el riesgo","NA","")</f>
        <v>#N/A</v>
      </c>
      <c r="BK115" s="573" t="e">
        <f>+IF($R115="Asumir el riesgo","NA","")</f>
        <v>#N/A</v>
      </c>
      <c r="BL115" s="573" t="e">
        <f>+IF($R115="Asumir el riesgo","NA","")</f>
        <v>#N/A</v>
      </c>
      <c r="BM115" s="939" t="e">
        <f>+IF($R115="Asumir el riesgo","NA","")</f>
        <v>#N/A</v>
      </c>
    </row>
    <row r="116" spans="1:65" ht="65.099999999999994" customHeight="1">
      <c r="A116" s="953"/>
      <c r="B116" s="949"/>
      <c r="C116" s="686"/>
      <c r="D116" s="401"/>
      <c r="E116" s="401"/>
      <c r="F116" s="948"/>
      <c r="G116" s="947"/>
      <c r="H116" s="375"/>
      <c r="I116" s="375"/>
      <c r="J116" s="375"/>
      <c r="K116" s="402"/>
      <c r="L116" s="403"/>
      <c r="M116" s="689"/>
      <c r="N116" s="943"/>
      <c r="O116" s="945"/>
      <c r="P116" s="943"/>
      <c r="Q116" s="565"/>
      <c r="R116" s="565"/>
      <c r="S116" s="332"/>
      <c r="T116" s="332"/>
      <c r="U116" s="347" t="s">
        <v>1179</v>
      </c>
      <c r="V116" s="408"/>
      <c r="W116" s="408"/>
      <c r="X116" s="408"/>
      <c r="Y116" s="332" t="str">
        <f t="shared" si="13"/>
        <v/>
      </c>
      <c r="Z116" s="408"/>
      <c r="AA116" s="332" t="str">
        <f t="shared" si="14"/>
        <v/>
      </c>
      <c r="AB116" s="332"/>
      <c r="AC116" s="332" t="str">
        <f t="shared" si="15"/>
        <v/>
      </c>
      <c r="AD116" s="332"/>
      <c r="AE116" s="332" t="str">
        <f t="shared" si="16"/>
        <v/>
      </c>
      <c r="AF116" s="332"/>
      <c r="AG116" s="332" t="str">
        <f t="shared" si="17"/>
        <v/>
      </c>
      <c r="AH116" s="332"/>
      <c r="AI116" s="332" t="str">
        <f t="shared" si="18"/>
        <v/>
      </c>
      <c r="AJ116" s="332"/>
      <c r="AK116" s="333" t="str">
        <f t="shared" si="19"/>
        <v/>
      </c>
      <c r="AL116" s="404" t="str">
        <f t="shared" si="20"/>
        <v/>
      </c>
      <c r="AM116" s="404" t="str">
        <f t="shared" si="21"/>
        <v/>
      </c>
      <c r="AN116" s="405"/>
      <c r="AO116" s="405"/>
      <c r="AP116" s="405"/>
      <c r="AQ116" s="405"/>
      <c r="AR116" s="405"/>
      <c r="AS116" s="405"/>
      <c r="AT116" s="405"/>
      <c r="AU116" s="400" t="str">
        <f>IFERROR(VLOOKUP(AT116,'Seguridad Información'!$I$61:$J$65,2,0),"")</f>
        <v/>
      </c>
      <c r="AV116" s="400"/>
      <c r="AW116" s="406" t="str">
        <f t="shared" si="12"/>
        <v/>
      </c>
      <c r="AX116" s="404" t="str">
        <f t="shared" si="22"/>
        <v/>
      </c>
      <c r="AY116" s="406" t="str">
        <f>IFERROR(VLOOKUP((CONCATENATE(AM116,AX116)),Listados!$U$3:$V$11,2,FALSE),"")</f>
        <v/>
      </c>
      <c r="AZ116" s="404">
        <f t="shared" si="23"/>
        <v>100</v>
      </c>
      <c r="BA116" s="942"/>
      <c r="BB116" s="942"/>
      <c r="BC116" s="407">
        <f>+IF(AND(W116="Preventivo",BB115="Fuerte"),2,IF(AND(W116="Preventivo",BB115="Moderado"),1,0))</f>
        <v>0</v>
      </c>
      <c r="BD116" s="407">
        <f>+IF(AND(W116="Detectivo/Correctivo",$BB115="Fuerte"),2,IF(AND(W116="Detectivo/Correctivo",$BB116="Moderado"),1,IF(AND(W116="Preventivo",$BB115="Fuerte"),1,0)))</f>
        <v>0</v>
      </c>
      <c r="BE116" s="407" t="e">
        <f>+N115-BC116</f>
        <v>#N/A</v>
      </c>
      <c r="BF116" s="407" t="e">
        <f>+P115-BD116</f>
        <v>#N/A</v>
      </c>
      <c r="BG116" s="565"/>
      <c r="BH116" s="565"/>
      <c r="BI116" s="565"/>
      <c r="BJ116" s="573"/>
      <c r="BK116" s="573"/>
      <c r="BL116" s="573"/>
      <c r="BM116" s="939"/>
    </row>
    <row r="117" spans="1:65" ht="65.099999999999994" customHeight="1">
      <c r="A117" s="953"/>
      <c r="B117" s="949"/>
      <c r="C117" s="686"/>
      <c r="D117" s="401"/>
      <c r="E117" s="401"/>
      <c r="F117" s="948"/>
      <c r="G117" s="947"/>
      <c r="H117" s="375"/>
      <c r="I117" s="375"/>
      <c r="J117" s="375"/>
      <c r="K117" s="402"/>
      <c r="L117" s="403"/>
      <c r="M117" s="689"/>
      <c r="N117" s="943"/>
      <c r="O117" s="945"/>
      <c r="P117" s="943"/>
      <c r="Q117" s="565"/>
      <c r="R117" s="565"/>
      <c r="S117" s="332"/>
      <c r="T117" s="332"/>
      <c r="U117" s="347" t="s">
        <v>1179</v>
      </c>
      <c r="V117" s="408"/>
      <c r="W117" s="408"/>
      <c r="X117" s="408"/>
      <c r="Y117" s="332" t="str">
        <f t="shared" si="13"/>
        <v/>
      </c>
      <c r="Z117" s="408"/>
      <c r="AA117" s="332" t="str">
        <f t="shared" si="14"/>
        <v/>
      </c>
      <c r="AB117" s="332"/>
      <c r="AC117" s="332" t="str">
        <f t="shared" si="15"/>
        <v/>
      </c>
      <c r="AD117" s="332"/>
      <c r="AE117" s="332" t="str">
        <f t="shared" si="16"/>
        <v/>
      </c>
      <c r="AF117" s="332"/>
      <c r="AG117" s="332" t="str">
        <f t="shared" si="17"/>
        <v/>
      </c>
      <c r="AH117" s="332"/>
      <c r="AI117" s="332" t="str">
        <f t="shared" si="18"/>
        <v/>
      </c>
      <c r="AJ117" s="332"/>
      <c r="AK117" s="333" t="str">
        <f t="shared" si="19"/>
        <v/>
      </c>
      <c r="AL117" s="404" t="str">
        <f t="shared" si="20"/>
        <v/>
      </c>
      <c r="AM117" s="404" t="str">
        <f t="shared" si="21"/>
        <v/>
      </c>
      <c r="AN117" s="405"/>
      <c r="AO117" s="405"/>
      <c r="AP117" s="405"/>
      <c r="AQ117" s="405"/>
      <c r="AR117" s="405"/>
      <c r="AS117" s="405"/>
      <c r="AT117" s="405"/>
      <c r="AU117" s="400" t="str">
        <f>IFERROR(VLOOKUP(AT117,'Seguridad Información'!$I$61:$J$65,2,0),"")</f>
        <v/>
      </c>
      <c r="AV117" s="400"/>
      <c r="AW117" s="406" t="str">
        <f t="shared" si="12"/>
        <v/>
      </c>
      <c r="AX117" s="404" t="str">
        <f t="shared" si="22"/>
        <v/>
      </c>
      <c r="AY117" s="406" t="str">
        <f>IFERROR(VLOOKUP((CONCATENATE(AM117,AX117)),Listados!$U$3:$V$11,2,FALSE),"")</f>
        <v/>
      </c>
      <c r="AZ117" s="404">
        <f t="shared" si="23"/>
        <v>100</v>
      </c>
      <c r="BA117" s="942"/>
      <c r="BB117" s="942"/>
      <c r="BC117" s="407">
        <f>+IF(AND(W117="Preventivo",BB115="Fuerte"),2,IF(AND(W117="Preventivo",BB115="Moderado"),1,0))</f>
        <v>0</v>
      </c>
      <c r="BD117" s="407">
        <f>+IF(AND(W117="Detectivo/Correctivo",$BB115="Fuerte"),2,IF(AND(W117="Detectivo/Correctivo",$BB117="Moderado"),1,IF(AND(W117="Preventivo",$BB115="Fuerte"),1,0)))</f>
        <v>0</v>
      </c>
      <c r="BE117" s="407" t="e">
        <f>+N115-BC117</f>
        <v>#N/A</v>
      </c>
      <c r="BF117" s="407" t="e">
        <f>+P115-BD117</f>
        <v>#N/A</v>
      </c>
      <c r="BG117" s="565"/>
      <c r="BH117" s="565"/>
      <c r="BI117" s="565"/>
      <c r="BJ117" s="573"/>
      <c r="BK117" s="573"/>
      <c r="BL117" s="573"/>
      <c r="BM117" s="939"/>
    </row>
    <row r="118" spans="1:65" ht="65.099999999999994" customHeight="1">
      <c r="A118" s="953"/>
      <c r="B118" s="949"/>
      <c r="C118" s="686"/>
      <c r="D118" s="401"/>
      <c r="E118" s="401"/>
      <c r="F118" s="948"/>
      <c r="G118" s="947"/>
      <c r="H118" s="375"/>
      <c r="I118" s="375"/>
      <c r="J118" s="375"/>
      <c r="K118" s="402"/>
      <c r="L118" s="403"/>
      <c r="M118" s="689"/>
      <c r="N118" s="943"/>
      <c r="O118" s="945"/>
      <c r="P118" s="943"/>
      <c r="Q118" s="565"/>
      <c r="R118" s="565"/>
      <c r="S118" s="332"/>
      <c r="T118" s="332"/>
      <c r="U118" s="347" t="s">
        <v>1179</v>
      </c>
      <c r="V118" s="408"/>
      <c r="W118" s="408"/>
      <c r="X118" s="408"/>
      <c r="Y118" s="332" t="str">
        <f t="shared" si="13"/>
        <v/>
      </c>
      <c r="Z118" s="408"/>
      <c r="AA118" s="332" t="str">
        <f t="shared" si="14"/>
        <v/>
      </c>
      <c r="AB118" s="332"/>
      <c r="AC118" s="332" t="str">
        <f t="shared" si="15"/>
        <v/>
      </c>
      <c r="AD118" s="332"/>
      <c r="AE118" s="332" t="str">
        <f t="shared" si="16"/>
        <v/>
      </c>
      <c r="AF118" s="332"/>
      <c r="AG118" s="332" t="str">
        <f t="shared" si="17"/>
        <v/>
      </c>
      <c r="AH118" s="332"/>
      <c r="AI118" s="332" t="str">
        <f t="shared" si="18"/>
        <v/>
      </c>
      <c r="AJ118" s="332"/>
      <c r="AK118" s="333" t="str">
        <f t="shared" si="19"/>
        <v/>
      </c>
      <c r="AL118" s="404" t="str">
        <f t="shared" si="20"/>
        <v/>
      </c>
      <c r="AM118" s="404" t="str">
        <f t="shared" si="21"/>
        <v/>
      </c>
      <c r="AN118" s="405"/>
      <c r="AO118" s="405"/>
      <c r="AP118" s="405"/>
      <c r="AQ118" s="405"/>
      <c r="AR118" s="405"/>
      <c r="AS118" s="405"/>
      <c r="AT118" s="405"/>
      <c r="AU118" s="400" t="str">
        <f>IFERROR(VLOOKUP(AT118,'Seguridad Información'!$I$61:$J$65,2,0),"")</f>
        <v/>
      </c>
      <c r="AV118" s="400"/>
      <c r="AW118" s="406" t="str">
        <f t="shared" si="12"/>
        <v/>
      </c>
      <c r="AX118" s="404" t="str">
        <f t="shared" si="22"/>
        <v/>
      </c>
      <c r="AY118" s="406" t="str">
        <f>IFERROR(VLOOKUP((CONCATENATE(AM118,AX118)),Listados!$U$3:$V$11,2,FALSE),"")</f>
        <v/>
      </c>
      <c r="AZ118" s="404">
        <f t="shared" si="23"/>
        <v>100</v>
      </c>
      <c r="BA118" s="942"/>
      <c r="BB118" s="942"/>
      <c r="BC118" s="407">
        <f>+IF(AND(W118="Preventivo",BB115="Fuerte"),2,IF(AND(W118="Preventivo",BB115="Moderado"),1,0))</f>
        <v>0</v>
      </c>
      <c r="BD118" s="407">
        <f>+IF(AND(W118="Detectivo/Correctivo",$BB115="Fuerte"),2,IF(AND(W118="Detectivo/Correctivo",$BB118="Moderado"),1,IF(AND(W118="Preventivo",$BB115="Fuerte"),1,0)))</f>
        <v>0</v>
      </c>
      <c r="BE118" s="407" t="e">
        <f>+N115-BC118</f>
        <v>#N/A</v>
      </c>
      <c r="BF118" s="407" t="e">
        <f>+P115-BD118</f>
        <v>#N/A</v>
      </c>
      <c r="BG118" s="565"/>
      <c r="BH118" s="565"/>
      <c r="BI118" s="565"/>
      <c r="BJ118" s="573"/>
      <c r="BK118" s="573"/>
      <c r="BL118" s="573"/>
      <c r="BM118" s="939"/>
    </row>
    <row r="119" spans="1:65" ht="65.099999999999994" customHeight="1">
      <c r="A119" s="953"/>
      <c r="B119" s="949"/>
      <c r="C119" s="686"/>
      <c r="D119" s="401"/>
      <c r="E119" s="401"/>
      <c r="F119" s="948"/>
      <c r="G119" s="947"/>
      <c r="H119" s="375"/>
      <c r="I119" s="375"/>
      <c r="J119" s="375"/>
      <c r="K119" s="402"/>
      <c r="L119" s="403"/>
      <c r="M119" s="689"/>
      <c r="N119" s="943"/>
      <c r="O119" s="945"/>
      <c r="P119" s="943"/>
      <c r="Q119" s="565"/>
      <c r="R119" s="565"/>
      <c r="S119" s="332"/>
      <c r="T119" s="332"/>
      <c r="U119" s="347" t="s">
        <v>1179</v>
      </c>
      <c r="V119" s="408"/>
      <c r="W119" s="408"/>
      <c r="X119" s="408"/>
      <c r="Y119" s="332" t="str">
        <f t="shared" si="13"/>
        <v/>
      </c>
      <c r="Z119" s="408"/>
      <c r="AA119" s="332" t="str">
        <f t="shared" si="14"/>
        <v/>
      </c>
      <c r="AB119" s="332"/>
      <c r="AC119" s="332" t="str">
        <f t="shared" si="15"/>
        <v/>
      </c>
      <c r="AD119" s="332"/>
      <c r="AE119" s="332" t="str">
        <f t="shared" si="16"/>
        <v/>
      </c>
      <c r="AF119" s="332"/>
      <c r="AG119" s="332" t="str">
        <f t="shared" si="17"/>
        <v/>
      </c>
      <c r="AH119" s="332"/>
      <c r="AI119" s="332" t="str">
        <f t="shared" si="18"/>
        <v/>
      </c>
      <c r="AJ119" s="332"/>
      <c r="AK119" s="333" t="str">
        <f t="shared" si="19"/>
        <v/>
      </c>
      <c r="AL119" s="404" t="str">
        <f t="shared" si="20"/>
        <v/>
      </c>
      <c r="AM119" s="404" t="str">
        <f t="shared" si="21"/>
        <v/>
      </c>
      <c r="AN119" s="405"/>
      <c r="AO119" s="405"/>
      <c r="AP119" s="405"/>
      <c r="AQ119" s="405"/>
      <c r="AR119" s="405"/>
      <c r="AS119" s="405"/>
      <c r="AT119" s="405"/>
      <c r="AU119" s="400" t="str">
        <f>IFERROR(VLOOKUP(AT119,'Seguridad Información'!$I$61:$J$65,2,0),"")</f>
        <v/>
      </c>
      <c r="AV119" s="400"/>
      <c r="AW119" s="406" t="str">
        <f t="shared" si="12"/>
        <v/>
      </c>
      <c r="AX119" s="404" t="str">
        <f t="shared" si="22"/>
        <v/>
      </c>
      <c r="AY119" s="406" t="str">
        <f>IFERROR(VLOOKUP((CONCATENATE(AM119,AX119)),Listados!$U$3:$V$11,2,FALSE),"")</f>
        <v/>
      </c>
      <c r="AZ119" s="404">
        <f t="shared" si="23"/>
        <v>100</v>
      </c>
      <c r="BA119" s="942"/>
      <c r="BB119" s="942"/>
      <c r="BC119" s="407">
        <f>+IF(AND(W119="Preventivo",BB115="Fuerte"),2,IF(AND(W119="Preventivo",BB115="Moderado"),1,0))</f>
        <v>0</v>
      </c>
      <c r="BD119" s="407">
        <f>+IF(AND(W119="Detectivo/Correctivo",$BB115="Fuerte"),2,IF(AND(W119="Detectivo/Correctivo",$BB119="Moderado"),1,IF(AND(W119="Preventivo",$BB115="Fuerte"),1,0)))</f>
        <v>0</v>
      </c>
      <c r="BE119" s="407" t="e">
        <f>+N115-BC119</f>
        <v>#N/A</v>
      </c>
      <c r="BF119" s="407" t="e">
        <f>+P115-BD119</f>
        <v>#N/A</v>
      </c>
      <c r="BG119" s="565"/>
      <c r="BH119" s="565"/>
      <c r="BI119" s="565"/>
      <c r="BJ119" s="573"/>
      <c r="BK119" s="573"/>
      <c r="BL119" s="573"/>
      <c r="BM119" s="939"/>
    </row>
    <row r="120" spans="1:65" ht="65.099999999999994" customHeight="1">
      <c r="A120" s="953"/>
      <c r="B120" s="949"/>
      <c r="C120" s="686"/>
      <c r="D120" s="401"/>
      <c r="E120" s="401"/>
      <c r="F120" s="948"/>
      <c r="G120" s="947"/>
      <c r="H120" s="375"/>
      <c r="I120" s="375"/>
      <c r="J120" s="375"/>
      <c r="K120" s="402"/>
      <c r="L120" s="403"/>
      <c r="M120" s="689"/>
      <c r="N120" s="943"/>
      <c r="O120" s="945"/>
      <c r="P120" s="943"/>
      <c r="Q120" s="565"/>
      <c r="R120" s="565"/>
      <c r="S120" s="332"/>
      <c r="T120" s="332"/>
      <c r="U120" s="347" t="s">
        <v>1179</v>
      </c>
      <c r="V120" s="408"/>
      <c r="W120" s="408"/>
      <c r="X120" s="408"/>
      <c r="Y120" s="332" t="str">
        <f t="shared" si="13"/>
        <v/>
      </c>
      <c r="Z120" s="408"/>
      <c r="AA120" s="332" t="str">
        <f t="shared" si="14"/>
        <v/>
      </c>
      <c r="AB120" s="332"/>
      <c r="AC120" s="332" t="str">
        <f t="shared" si="15"/>
        <v/>
      </c>
      <c r="AD120" s="332"/>
      <c r="AE120" s="332" t="str">
        <f t="shared" si="16"/>
        <v/>
      </c>
      <c r="AF120" s="332"/>
      <c r="AG120" s="332" t="str">
        <f t="shared" si="17"/>
        <v/>
      </c>
      <c r="AH120" s="332"/>
      <c r="AI120" s="332" t="str">
        <f t="shared" si="18"/>
        <v/>
      </c>
      <c r="AJ120" s="332"/>
      <c r="AK120" s="333" t="str">
        <f t="shared" si="19"/>
        <v/>
      </c>
      <c r="AL120" s="404" t="str">
        <f t="shared" si="20"/>
        <v/>
      </c>
      <c r="AM120" s="404" t="str">
        <f t="shared" si="21"/>
        <v/>
      </c>
      <c r="AN120" s="405"/>
      <c r="AO120" s="405"/>
      <c r="AP120" s="405"/>
      <c r="AQ120" s="405"/>
      <c r="AR120" s="405"/>
      <c r="AS120" s="405"/>
      <c r="AT120" s="405"/>
      <c r="AU120" s="400" t="str">
        <f>IFERROR(VLOOKUP(AT120,'Seguridad Información'!$I$61:$J$65,2,0),"")</f>
        <v/>
      </c>
      <c r="AV120" s="400"/>
      <c r="AW120" s="406" t="str">
        <f t="shared" si="12"/>
        <v/>
      </c>
      <c r="AX120" s="404" t="str">
        <f t="shared" si="22"/>
        <v/>
      </c>
      <c r="AY120" s="406" t="str">
        <f>IFERROR(VLOOKUP((CONCATENATE(AM120,AX120)),Listados!$U$3:$V$11,2,FALSE),"")</f>
        <v/>
      </c>
      <c r="AZ120" s="404">
        <f t="shared" si="23"/>
        <v>100</v>
      </c>
      <c r="BA120" s="942"/>
      <c r="BB120" s="942"/>
      <c r="BC120" s="407">
        <f>+IF(AND(W120="Preventivo",BB115="Fuerte"),2,IF(AND(W120="Preventivo",BB115="Moderado"),1,0))</f>
        <v>0</v>
      </c>
      <c r="BD120" s="407">
        <f>+IF(AND(W120="Detectivo/Correctivo",$BB115="Fuerte"),2,IF(AND(W120="Detectivo/Correctivo",$BB120="Moderado"),1,IF(AND(W120="Preventivo",$BB115="Fuerte"),1,0)))</f>
        <v>0</v>
      </c>
      <c r="BE120" s="407" t="e">
        <f>+N115-BC120</f>
        <v>#N/A</v>
      </c>
      <c r="BF120" s="407" t="e">
        <f>+P115-BD120</f>
        <v>#N/A</v>
      </c>
      <c r="BG120" s="565"/>
      <c r="BH120" s="565"/>
      <c r="BI120" s="565"/>
      <c r="BJ120" s="573"/>
      <c r="BK120" s="573"/>
      <c r="BL120" s="573"/>
      <c r="BM120" s="939"/>
    </row>
    <row r="121" spans="1:65" ht="65.099999999999994" customHeight="1">
      <c r="A121" s="953">
        <v>20</v>
      </c>
      <c r="B121" s="949"/>
      <c r="C121" s="686" t="str">
        <f>IFERROR(VLOOKUP(B121,Listados!B$3:C$20,2,FALSE),"")</f>
        <v/>
      </c>
      <c r="D121" s="401"/>
      <c r="E121" s="401"/>
      <c r="F121" s="948"/>
      <c r="G121" s="947"/>
      <c r="H121" s="375"/>
      <c r="I121" s="375"/>
      <c r="J121" s="375"/>
      <c r="K121" s="402"/>
      <c r="L121" s="403"/>
      <c r="M121" s="689"/>
      <c r="N121" s="943" t="e">
        <f>+VLOOKUP(M121,Listados!$K$8:$L$12,2,0)</f>
        <v>#N/A</v>
      </c>
      <c r="O121" s="945"/>
      <c r="P121" s="943" t="e">
        <f>+VLOOKUP(O121,Listados!$K$13:$L$17,2,0)</f>
        <v>#N/A</v>
      </c>
      <c r="Q121" s="565" t="str">
        <f>IF(AND(M121&lt;&gt;"",O121&lt;&gt;""),VLOOKUP(M121&amp;O121,Listados!$M$3:$N$27,2,FALSE),"")</f>
        <v/>
      </c>
      <c r="R121" s="565" t="e">
        <f>+VLOOKUP(Q121,Listados!$P$3:$Q$6,2,FALSE)</f>
        <v>#N/A</v>
      </c>
      <c r="S121" s="332"/>
      <c r="T121" s="332"/>
      <c r="U121" s="347" t="s">
        <v>1179</v>
      </c>
      <c r="V121" s="408"/>
      <c r="W121" s="408"/>
      <c r="X121" s="408"/>
      <c r="Y121" s="332" t="str">
        <f t="shared" si="13"/>
        <v/>
      </c>
      <c r="Z121" s="408"/>
      <c r="AA121" s="332" t="str">
        <f t="shared" si="14"/>
        <v/>
      </c>
      <c r="AB121" s="332"/>
      <c r="AC121" s="332" t="str">
        <f t="shared" si="15"/>
        <v/>
      </c>
      <c r="AD121" s="332"/>
      <c r="AE121" s="332" t="str">
        <f t="shared" si="16"/>
        <v/>
      </c>
      <c r="AF121" s="332"/>
      <c r="AG121" s="332" t="str">
        <f t="shared" si="17"/>
        <v/>
      </c>
      <c r="AH121" s="332"/>
      <c r="AI121" s="332" t="str">
        <f t="shared" si="18"/>
        <v/>
      </c>
      <c r="AJ121" s="332"/>
      <c r="AK121" s="333" t="str">
        <f t="shared" si="19"/>
        <v/>
      </c>
      <c r="AL121" s="404" t="str">
        <f t="shared" si="20"/>
        <v/>
      </c>
      <c r="AM121" s="404" t="str">
        <f t="shared" si="21"/>
        <v/>
      </c>
      <c r="AN121" s="405"/>
      <c r="AO121" s="405"/>
      <c r="AP121" s="405"/>
      <c r="AQ121" s="405"/>
      <c r="AR121" s="405"/>
      <c r="AS121" s="405"/>
      <c r="AT121" s="405"/>
      <c r="AU121" s="400" t="str">
        <f>IFERROR(VLOOKUP(AT121,'Seguridad Información'!$I$61:$J$65,2,0),"")</f>
        <v/>
      </c>
      <c r="AV121" s="400"/>
      <c r="AW121" s="406" t="str">
        <f t="shared" si="12"/>
        <v/>
      </c>
      <c r="AX121" s="404" t="str">
        <f t="shared" si="22"/>
        <v/>
      </c>
      <c r="AY121" s="406" t="str">
        <f>IFERROR(VLOOKUP((CONCATENATE(AM121,AX121)),Listados!$U$3:$V$11,2,FALSE),"")</f>
        <v/>
      </c>
      <c r="AZ121" s="404">
        <f t="shared" si="23"/>
        <v>100</v>
      </c>
      <c r="BA121" s="942">
        <f>AVERAGE(AZ121:AZ126)</f>
        <v>100</v>
      </c>
      <c r="BB121" s="942" t="str">
        <f>IF(BA121&lt;=50, "Débil", IF(BA121&lt;=99,"Moderado","Fuerte"))</f>
        <v>Fuerte</v>
      </c>
      <c r="BC121" s="407">
        <f>+IF(AND(W121="Preventivo",BB121="Fuerte"),2,IF(AND(W121="Preventivo",BB121="Moderado"),1,0))</f>
        <v>0</v>
      </c>
      <c r="BD121" s="407">
        <f>+IF(AND(W121="Detectivo/Correctivo",$BB121="Fuerte"),2,IF(AND(W121="Detectivo/Correctivo",$BB121="Moderado"),1,IF(AND(W121="Preventivo",$BB121="Fuerte"),1,0)))</f>
        <v>0</v>
      </c>
      <c r="BE121" s="407" t="e">
        <f>+N121-BC121</f>
        <v>#N/A</v>
      </c>
      <c r="BF121" s="407" t="e">
        <f>+P121-BD121</f>
        <v>#N/A</v>
      </c>
      <c r="BG121" s="565" t="e">
        <f>+VLOOKUP(MIN(BE121,BE122,BE123,BE124,BE125,BE126),Listados!$J$18:$K$24,2,TRUE)</f>
        <v>#N/A</v>
      </c>
      <c r="BH121" s="565" t="e">
        <f>+VLOOKUP(MIN(BF121,BF122,BF123,BF124,BF125,BF126),Listados!$J$27:$K$32,2,TRUE)</f>
        <v>#N/A</v>
      </c>
      <c r="BI121" s="565" t="e">
        <f>IF(AND(BG121&lt;&gt;"",BH121&lt;&gt;""),VLOOKUP(BG121&amp;BH121,Listados!$M$3:$N$27,2,FALSE),"")</f>
        <v>#N/A</v>
      </c>
      <c r="BJ121" s="573" t="e">
        <f>+IF($R121="Asumir el riesgo","NA","")</f>
        <v>#N/A</v>
      </c>
      <c r="BK121" s="573" t="e">
        <f>+IF($R121="Asumir el riesgo","NA","")</f>
        <v>#N/A</v>
      </c>
      <c r="BL121" s="573" t="e">
        <f>+IF($R121="Asumir el riesgo","NA","")</f>
        <v>#N/A</v>
      </c>
      <c r="BM121" s="939" t="e">
        <f>+IF($R121="Asumir el riesgo","NA","")</f>
        <v>#N/A</v>
      </c>
    </row>
    <row r="122" spans="1:65" ht="65.099999999999994" customHeight="1">
      <c r="A122" s="953"/>
      <c r="B122" s="949"/>
      <c r="C122" s="686"/>
      <c r="D122" s="401"/>
      <c r="E122" s="401"/>
      <c r="F122" s="948"/>
      <c r="G122" s="947"/>
      <c r="H122" s="375"/>
      <c r="I122" s="375"/>
      <c r="J122" s="375"/>
      <c r="K122" s="402"/>
      <c r="L122" s="403"/>
      <c r="M122" s="689"/>
      <c r="N122" s="943"/>
      <c r="O122" s="945"/>
      <c r="P122" s="943"/>
      <c r="Q122" s="565"/>
      <c r="R122" s="565"/>
      <c r="S122" s="332"/>
      <c r="T122" s="332"/>
      <c r="U122" s="347" t="s">
        <v>1179</v>
      </c>
      <c r="V122" s="408"/>
      <c r="W122" s="408"/>
      <c r="X122" s="408"/>
      <c r="Y122" s="332" t="str">
        <f t="shared" si="13"/>
        <v/>
      </c>
      <c r="Z122" s="408"/>
      <c r="AA122" s="332" t="str">
        <f t="shared" si="14"/>
        <v/>
      </c>
      <c r="AB122" s="332"/>
      <c r="AC122" s="332" t="str">
        <f t="shared" si="15"/>
        <v/>
      </c>
      <c r="AD122" s="332"/>
      <c r="AE122" s="332" t="str">
        <f t="shared" si="16"/>
        <v/>
      </c>
      <c r="AF122" s="332"/>
      <c r="AG122" s="332" t="str">
        <f t="shared" si="17"/>
        <v/>
      </c>
      <c r="AH122" s="332"/>
      <c r="AI122" s="332" t="str">
        <f t="shared" si="18"/>
        <v/>
      </c>
      <c r="AJ122" s="332"/>
      <c r="AK122" s="333" t="str">
        <f t="shared" si="19"/>
        <v/>
      </c>
      <c r="AL122" s="404" t="str">
        <f t="shared" si="20"/>
        <v/>
      </c>
      <c r="AM122" s="404" t="str">
        <f t="shared" si="21"/>
        <v/>
      </c>
      <c r="AN122" s="405"/>
      <c r="AO122" s="405"/>
      <c r="AP122" s="405"/>
      <c r="AQ122" s="405"/>
      <c r="AR122" s="405"/>
      <c r="AS122" s="405"/>
      <c r="AT122" s="405"/>
      <c r="AU122" s="400" t="str">
        <f>IFERROR(VLOOKUP(AT122,'Seguridad Información'!$I$61:$J$65,2,0),"")</f>
        <v/>
      </c>
      <c r="AV122" s="400"/>
      <c r="AW122" s="406" t="str">
        <f t="shared" si="12"/>
        <v/>
      </c>
      <c r="AX122" s="404" t="str">
        <f t="shared" si="22"/>
        <v/>
      </c>
      <c r="AY122" s="406" t="str">
        <f>IFERROR(VLOOKUP((CONCATENATE(AM122,AX122)),Listados!$U$3:$V$11,2,FALSE),"")</f>
        <v/>
      </c>
      <c r="AZ122" s="404">
        <f t="shared" si="23"/>
        <v>100</v>
      </c>
      <c r="BA122" s="942"/>
      <c r="BB122" s="942"/>
      <c r="BC122" s="407">
        <f>+IF(AND(W122="Preventivo",BB121="Fuerte"),2,IF(AND(W122="Preventivo",BB121="Moderado"),1,0))</f>
        <v>0</v>
      </c>
      <c r="BD122" s="407">
        <f>+IF(AND(W122="Detectivo/Correctivo",$BB121="Fuerte"),2,IF(AND(W122="Detectivo/Correctivo",$BB122="Moderado"),1,IF(AND(W122="Preventivo",$BB121="Fuerte"),1,0)))</f>
        <v>0</v>
      </c>
      <c r="BE122" s="407" t="e">
        <f>+N121-BC122</f>
        <v>#N/A</v>
      </c>
      <c r="BF122" s="407" t="e">
        <f>+P121-BD122</f>
        <v>#N/A</v>
      </c>
      <c r="BG122" s="565"/>
      <c r="BH122" s="565"/>
      <c r="BI122" s="565"/>
      <c r="BJ122" s="573"/>
      <c r="BK122" s="573"/>
      <c r="BL122" s="573"/>
      <c r="BM122" s="939"/>
    </row>
    <row r="123" spans="1:65" ht="65.099999999999994" customHeight="1">
      <c r="A123" s="953"/>
      <c r="B123" s="949"/>
      <c r="C123" s="686"/>
      <c r="D123" s="401"/>
      <c r="E123" s="401"/>
      <c r="F123" s="948"/>
      <c r="G123" s="947"/>
      <c r="H123" s="375"/>
      <c r="I123" s="375"/>
      <c r="J123" s="375"/>
      <c r="K123" s="402"/>
      <c r="L123" s="403"/>
      <c r="M123" s="689"/>
      <c r="N123" s="943"/>
      <c r="O123" s="945"/>
      <c r="P123" s="943"/>
      <c r="Q123" s="565"/>
      <c r="R123" s="565"/>
      <c r="S123" s="332"/>
      <c r="T123" s="332"/>
      <c r="U123" s="347" t="s">
        <v>1179</v>
      </c>
      <c r="V123" s="408"/>
      <c r="W123" s="408"/>
      <c r="X123" s="408"/>
      <c r="Y123" s="332" t="str">
        <f t="shared" si="13"/>
        <v/>
      </c>
      <c r="Z123" s="408"/>
      <c r="AA123" s="332" t="str">
        <f t="shared" si="14"/>
        <v/>
      </c>
      <c r="AB123" s="332"/>
      <c r="AC123" s="332" t="str">
        <f t="shared" si="15"/>
        <v/>
      </c>
      <c r="AD123" s="332"/>
      <c r="AE123" s="332" t="str">
        <f t="shared" si="16"/>
        <v/>
      </c>
      <c r="AF123" s="332"/>
      <c r="AG123" s="332" t="str">
        <f t="shared" si="17"/>
        <v/>
      </c>
      <c r="AH123" s="332"/>
      <c r="AI123" s="332" t="str">
        <f t="shared" si="18"/>
        <v/>
      </c>
      <c r="AJ123" s="332"/>
      <c r="AK123" s="333" t="str">
        <f t="shared" si="19"/>
        <v/>
      </c>
      <c r="AL123" s="404" t="str">
        <f t="shared" si="20"/>
        <v/>
      </c>
      <c r="AM123" s="404" t="str">
        <f t="shared" si="21"/>
        <v/>
      </c>
      <c r="AN123" s="405"/>
      <c r="AO123" s="405"/>
      <c r="AP123" s="405"/>
      <c r="AQ123" s="405"/>
      <c r="AR123" s="405"/>
      <c r="AS123" s="405"/>
      <c r="AT123" s="405"/>
      <c r="AU123" s="400" t="str">
        <f>IFERROR(VLOOKUP(AT123,'Seguridad Información'!$I$61:$J$65,2,0),"")</f>
        <v/>
      </c>
      <c r="AV123" s="400"/>
      <c r="AW123" s="406" t="str">
        <f t="shared" si="12"/>
        <v/>
      </c>
      <c r="AX123" s="404" t="str">
        <f t="shared" si="22"/>
        <v/>
      </c>
      <c r="AY123" s="406" t="str">
        <f>IFERROR(VLOOKUP((CONCATENATE(AM123,AX123)),Listados!$U$3:$V$11,2,FALSE),"")</f>
        <v/>
      </c>
      <c r="AZ123" s="404">
        <f t="shared" si="23"/>
        <v>100</v>
      </c>
      <c r="BA123" s="942"/>
      <c r="BB123" s="942"/>
      <c r="BC123" s="407">
        <f>+IF(AND(W123="Preventivo",BB121="Fuerte"),2,IF(AND(W123="Preventivo",BB121="Moderado"),1,0))</f>
        <v>0</v>
      </c>
      <c r="BD123" s="407">
        <f>+IF(AND(W123="Detectivo/Correctivo",$BB121="Fuerte"),2,IF(AND(W123="Detectivo/Correctivo",$BB123="Moderado"),1,IF(AND(W123="Preventivo",$BB121="Fuerte"),1,0)))</f>
        <v>0</v>
      </c>
      <c r="BE123" s="407" t="e">
        <f>+N121-BC123</f>
        <v>#N/A</v>
      </c>
      <c r="BF123" s="407" t="e">
        <f>+P121-BD123</f>
        <v>#N/A</v>
      </c>
      <c r="BG123" s="565"/>
      <c r="BH123" s="565"/>
      <c r="BI123" s="565"/>
      <c r="BJ123" s="573"/>
      <c r="BK123" s="573"/>
      <c r="BL123" s="573"/>
      <c r="BM123" s="939"/>
    </row>
    <row r="124" spans="1:65" ht="65.099999999999994" customHeight="1">
      <c r="A124" s="953"/>
      <c r="B124" s="949"/>
      <c r="C124" s="686"/>
      <c r="D124" s="401"/>
      <c r="E124" s="401"/>
      <c r="F124" s="948"/>
      <c r="G124" s="947"/>
      <c r="H124" s="375"/>
      <c r="I124" s="375"/>
      <c r="J124" s="375"/>
      <c r="K124" s="402"/>
      <c r="L124" s="403"/>
      <c r="M124" s="689"/>
      <c r="N124" s="943"/>
      <c r="O124" s="945"/>
      <c r="P124" s="943"/>
      <c r="Q124" s="565"/>
      <c r="R124" s="565"/>
      <c r="S124" s="332"/>
      <c r="T124" s="332"/>
      <c r="U124" s="347" t="s">
        <v>1179</v>
      </c>
      <c r="V124" s="408"/>
      <c r="W124" s="408"/>
      <c r="X124" s="408"/>
      <c r="Y124" s="332" t="str">
        <f t="shared" si="13"/>
        <v/>
      </c>
      <c r="Z124" s="408"/>
      <c r="AA124" s="332" t="str">
        <f t="shared" si="14"/>
        <v/>
      </c>
      <c r="AB124" s="332"/>
      <c r="AC124" s="332" t="str">
        <f t="shared" si="15"/>
        <v/>
      </c>
      <c r="AD124" s="332"/>
      <c r="AE124" s="332" t="str">
        <f t="shared" si="16"/>
        <v/>
      </c>
      <c r="AF124" s="332"/>
      <c r="AG124" s="332" t="str">
        <f t="shared" si="17"/>
        <v/>
      </c>
      <c r="AH124" s="332"/>
      <c r="AI124" s="332" t="str">
        <f t="shared" si="18"/>
        <v/>
      </c>
      <c r="AJ124" s="332"/>
      <c r="AK124" s="333" t="str">
        <f t="shared" si="19"/>
        <v/>
      </c>
      <c r="AL124" s="404" t="str">
        <f t="shared" si="20"/>
        <v/>
      </c>
      <c r="AM124" s="404" t="str">
        <f t="shared" si="21"/>
        <v/>
      </c>
      <c r="AN124" s="405"/>
      <c r="AO124" s="405"/>
      <c r="AP124" s="405"/>
      <c r="AQ124" s="405"/>
      <c r="AR124" s="405"/>
      <c r="AS124" s="405"/>
      <c r="AT124" s="405"/>
      <c r="AU124" s="400" t="str">
        <f>IFERROR(VLOOKUP(AT124,'Seguridad Información'!$I$61:$J$65,2,0),"")</f>
        <v/>
      </c>
      <c r="AV124" s="400"/>
      <c r="AW124" s="406" t="str">
        <f t="shared" si="12"/>
        <v/>
      </c>
      <c r="AX124" s="404" t="str">
        <f t="shared" si="22"/>
        <v/>
      </c>
      <c r="AY124" s="406" t="str">
        <f>IFERROR(VLOOKUP((CONCATENATE(AM124,AX124)),Listados!$U$3:$V$11,2,FALSE),"")</f>
        <v/>
      </c>
      <c r="AZ124" s="404">
        <f t="shared" si="23"/>
        <v>100</v>
      </c>
      <c r="BA124" s="942"/>
      <c r="BB124" s="942"/>
      <c r="BC124" s="407">
        <f>+IF(AND(W124="Preventivo",BB121="Fuerte"),2,IF(AND(W124="Preventivo",BB121="Moderado"),1,0))</f>
        <v>0</v>
      </c>
      <c r="BD124" s="407">
        <f>+IF(AND(W124="Detectivo/Correctivo",$BB121="Fuerte"),2,IF(AND(W124="Detectivo/Correctivo",$BB124="Moderado"),1,IF(AND(W124="Preventivo",$BB121="Fuerte"),1,0)))</f>
        <v>0</v>
      </c>
      <c r="BE124" s="407" t="e">
        <f>+N121-BC124</f>
        <v>#N/A</v>
      </c>
      <c r="BF124" s="407" t="e">
        <f>+P121-BD124</f>
        <v>#N/A</v>
      </c>
      <c r="BG124" s="565"/>
      <c r="BH124" s="565"/>
      <c r="BI124" s="565"/>
      <c r="BJ124" s="573"/>
      <c r="BK124" s="573"/>
      <c r="BL124" s="573"/>
      <c r="BM124" s="939"/>
    </row>
    <row r="125" spans="1:65" ht="65.099999999999994" customHeight="1">
      <c r="A125" s="953"/>
      <c r="B125" s="949"/>
      <c r="C125" s="686"/>
      <c r="D125" s="401"/>
      <c r="E125" s="401"/>
      <c r="F125" s="948"/>
      <c r="G125" s="947"/>
      <c r="H125" s="375"/>
      <c r="I125" s="375"/>
      <c r="J125" s="375"/>
      <c r="K125" s="402"/>
      <c r="L125" s="403"/>
      <c r="M125" s="689"/>
      <c r="N125" s="943"/>
      <c r="O125" s="945"/>
      <c r="P125" s="943"/>
      <c r="Q125" s="565"/>
      <c r="R125" s="565"/>
      <c r="S125" s="332"/>
      <c r="T125" s="332"/>
      <c r="U125" s="347" t="s">
        <v>1179</v>
      </c>
      <c r="V125" s="408"/>
      <c r="W125" s="408"/>
      <c r="X125" s="408"/>
      <c r="Y125" s="332" t="str">
        <f t="shared" si="13"/>
        <v/>
      </c>
      <c r="Z125" s="408"/>
      <c r="AA125" s="332" t="str">
        <f t="shared" si="14"/>
        <v/>
      </c>
      <c r="AB125" s="332"/>
      <c r="AC125" s="332" t="str">
        <f t="shared" si="15"/>
        <v/>
      </c>
      <c r="AD125" s="332"/>
      <c r="AE125" s="332" t="str">
        <f t="shared" si="16"/>
        <v/>
      </c>
      <c r="AF125" s="332"/>
      <c r="AG125" s="332" t="str">
        <f t="shared" si="17"/>
        <v/>
      </c>
      <c r="AH125" s="332"/>
      <c r="AI125" s="332" t="str">
        <f t="shared" si="18"/>
        <v/>
      </c>
      <c r="AJ125" s="332"/>
      <c r="AK125" s="333" t="str">
        <f t="shared" si="19"/>
        <v/>
      </c>
      <c r="AL125" s="404" t="str">
        <f t="shared" si="20"/>
        <v/>
      </c>
      <c r="AM125" s="404" t="str">
        <f t="shared" si="21"/>
        <v/>
      </c>
      <c r="AN125" s="405"/>
      <c r="AO125" s="405"/>
      <c r="AP125" s="405"/>
      <c r="AQ125" s="405"/>
      <c r="AR125" s="405"/>
      <c r="AS125" s="405"/>
      <c r="AT125" s="405"/>
      <c r="AU125" s="400" t="str">
        <f>IFERROR(VLOOKUP(AT125,'Seguridad Información'!$I$61:$J$65,2,0),"")</f>
        <v/>
      </c>
      <c r="AV125" s="400"/>
      <c r="AW125" s="406" t="str">
        <f t="shared" si="12"/>
        <v/>
      </c>
      <c r="AX125" s="404" t="str">
        <f t="shared" si="22"/>
        <v/>
      </c>
      <c r="AY125" s="406" t="str">
        <f>IFERROR(VLOOKUP((CONCATENATE(AM125,AX125)),Listados!$U$3:$V$11,2,FALSE),"")</f>
        <v/>
      </c>
      <c r="AZ125" s="404">
        <f t="shared" si="23"/>
        <v>100</v>
      </c>
      <c r="BA125" s="942"/>
      <c r="BB125" s="942"/>
      <c r="BC125" s="407">
        <f>+IF(AND(W125="Preventivo",BB121="Fuerte"),2,IF(AND(W125="Preventivo",BB121="Moderado"),1,0))</f>
        <v>0</v>
      </c>
      <c r="BD125" s="407">
        <f>+IF(AND(W125="Detectivo/Correctivo",$BB121="Fuerte"),2,IF(AND(W125="Detectivo/Correctivo",$BB125="Moderado"),1,IF(AND(W125="Preventivo",$BB121="Fuerte"),1,0)))</f>
        <v>0</v>
      </c>
      <c r="BE125" s="407" t="e">
        <f>+N121-BC125</f>
        <v>#N/A</v>
      </c>
      <c r="BF125" s="407" t="e">
        <f>+P121-BD125</f>
        <v>#N/A</v>
      </c>
      <c r="BG125" s="565"/>
      <c r="BH125" s="565"/>
      <c r="BI125" s="565"/>
      <c r="BJ125" s="573"/>
      <c r="BK125" s="573"/>
      <c r="BL125" s="573"/>
      <c r="BM125" s="939"/>
    </row>
    <row r="126" spans="1:65" ht="65.099999999999994" customHeight="1" thickBot="1">
      <c r="A126" s="954"/>
      <c r="B126" s="950"/>
      <c r="C126" s="687"/>
      <c r="D126" s="297"/>
      <c r="E126" s="297"/>
      <c r="F126" s="971"/>
      <c r="G126" s="952"/>
      <c r="H126" s="279"/>
      <c r="I126" s="279"/>
      <c r="J126" s="279"/>
      <c r="K126" s="298"/>
      <c r="L126" s="299"/>
      <c r="M126" s="690"/>
      <c r="N126" s="944"/>
      <c r="O126" s="946"/>
      <c r="P126" s="944"/>
      <c r="Q126" s="570"/>
      <c r="R126" s="570"/>
      <c r="S126" s="260"/>
      <c r="T126" s="260"/>
      <c r="U126" s="258" t="s">
        <v>1179</v>
      </c>
      <c r="V126" s="300"/>
      <c r="W126" s="300"/>
      <c r="X126" s="300"/>
      <c r="Y126" s="260" t="str">
        <f t="shared" si="13"/>
        <v/>
      </c>
      <c r="Z126" s="300"/>
      <c r="AA126" s="260" t="str">
        <f t="shared" si="14"/>
        <v/>
      </c>
      <c r="AB126" s="260"/>
      <c r="AC126" s="260" t="str">
        <f t="shared" si="15"/>
        <v/>
      </c>
      <c r="AD126" s="260"/>
      <c r="AE126" s="260" t="str">
        <f t="shared" si="16"/>
        <v/>
      </c>
      <c r="AF126" s="260"/>
      <c r="AG126" s="260" t="str">
        <f t="shared" si="17"/>
        <v/>
      </c>
      <c r="AH126" s="260"/>
      <c r="AI126" s="260" t="str">
        <f t="shared" si="18"/>
        <v/>
      </c>
      <c r="AJ126" s="260"/>
      <c r="AK126" s="261" t="str">
        <f t="shared" si="19"/>
        <v/>
      </c>
      <c r="AL126" s="301" t="str">
        <f t="shared" si="20"/>
        <v/>
      </c>
      <c r="AM126" s="301" t="str">
        <f t="shared" si="21"/>
        <v/>
      </c>
      <c r="AN126" s="302"/>
      <c r="AO126" s="302"/>
      <c r="AP126" s="302"/>
      <c r="AQ126" s="302"/>
      <c r="AR126" s="302"/>
      <c r="AS126" s="302"/>
      <c r="AT126" s="302"/>
      <c r="AU126" s="303" t="str">
        <f>IFERROR(VLOOKUP(AT126,'Seguridad Información'!$I$61:$J$65,2,0),"")</f>
        <v/>
      </c>
      <c r="AV126" s="303"/>
      <c r="AW126" s="304" t="str">
        <f t="shared" si="12"/>
        <v/>
      </c>
      <c r="AX126" s="301" t="str">
        <f t="shared" si="22"/>
        <v/>
      </c>
      <c r="AY126" s="304" t="str">
        <f>IFERROR(VLOOKUP((CONCATENATE(AM126,AX126)),Listados!$U$3:$V$11,2,FALSE),"")</f>
        <v/>
      </c>
      <c r="AZ126" s="301">
        <f t="shared" si="23"/>
        <v>100</v>
      </c>
      <c r="BA126" s="951"/>
      <c r="BB126" s="951"/>
      <c r="BC126" s="305">
        <f>+IF(AND(W126="Preventivo",BB121="Fuerte"),2,IF(AND(W126="Preventivo",BB121="Moderado"),1,0))</f>
        <v>0</v>
      </c>
      <c r="BD126" s="305">
        <f>+IF(AND(W126="Detectivo/Correctivo",$BB121="Fuerte"),2,IF(AND(W126="Detectivo/Correctivo",$BB126="Moderado"),1,IF(AND(W126="Preventivo",$BB121="Fuerte"),1,0)))</f>
        <v>0</v>
      </c>
      <c r="BE126" s="305" t="e">
        <f>+N121-BC126</f>
        <v>#N/A</v>
      </c>
      <c r="BF126" s="305" t="e">
        <f>+P121-BD126</f>
        <v>#N/A</v>
      </c>
      <c r="BG126" s="570"/>
      <c r="BH126" s="570"/>
      <c r="BI126" s="570"/>
      <c r="BJ126" s="587"/>
      <c r="BK126" s="587"/>
      <c r="BL126" s="587"/>
      <c r="BM126" s="940"/>
    </row>
  </sheetData>
  <sheetProtection selectLockedCells="1"/>
  <mergeCells count="414">
    <mergeCell ref="BJ4:BM5"/>
    <mergeCell ref="F121:F126"/>
    <mergeCell ref="F7:F12"/>
    <mergeCell ref="F19:F24"/>
    <mergeCell ref="F25:F30"/>
    <mergeCell ref="F79:F84"/>
    <mergeCell ref="F85:F90"/>
    <mergeCell ref="F91:F96"/>
    <mergeCell ref="F97:F102"/>
    <mergeCell ref="F103:F108"/>
    <mergeCell ref="F109:F114"/>
    <mergeCell ref="N13:N18"/>
    <mergeCell ref="N7:N12"/>
    <mergeCell ref="O7:O12"/>
    <mergeCell ref="N25:N30"/>
    <mergeCell ref="O25:O30"/>
    <mergeCell ref="O91:O96"/>
    <mergeCell ref="Q19:Q24"/>
    <mergeCell ref="BA19:BA24"/>
    <mergeCell ref="BB19:BB24"/>
    <mergeCell ref="BG19:BG24"/>
    <mergeCell ref="BH19:BH24"/>
    <mergeCell ref="BB43:BB48"/>
    <mergeCell ref="Q37:Q42"/>
    <mergeCell ref="O13:O18"/>
    <mergeCell ref="P13:P18"/>
    <mergeCell ref="Q13:Q18"/>
    <mergeCell ref="BA13:BA18"/>
    <mergeCell ref="BB13:BB18"/>
    <mergeCell ref="A25:A30"/>
    <mergeCell ref="B25:B30"/>
    <mergeCell ref="A19:A24"/>
    <mergeCell ref="B19:B24"/>
    <mergeCell ref="M19:M24"/>
    <mergeCell ref="X5:AM5"/>
    <mergeCell ref="AN5:AW5"/>
    <mergeCell ref="AY5:AZ5"/>
    <mergeCell ref="BA5:BB5"/>
    <mergeCell ref="BG5:BI5"/>
    <mergeCell ref="R4:R5"/>
    <mergeCell ref="C55:C60"/>
    <mergeCell ref="G55:G60"/>
    <mergeCell ref="M55:M60"/>
    <mergeCell ref="N55:N60"/>
    <mergeCell ref="O55:O60"/>
    <mergeCell ref="G7:G12"/>
    <mergeCell ref="P19:P24"/>
    <mergeCell ref="F43:F48"/>
    <mergeCell ref="M37:M42"/>
    <mergeCell ref="N37:N42"/>
    <mergeCell ref="N19:N24"/>
    <mergeCell ref="O19:O24"/>
    <mergeCell ref="P7:P12"/>
    <mergeCell ref="G49:G54"/>
    <mergeCell ref="M49:M54"/>
    <mergeCell ref="P43:P48"/>
    <mergeCell ref="C25:C30"/>
    <mergeCell ref="P25:P30"/>
    <mergeCell ref="H1:BI3"/>
    <mergeCell ref="BA43:BA48"/>
    <mergeCell ref="BH7:BH12"/>
    <mergeCell ref="BI7:BI12"/>
    <mergeCell ref="Q7:Q12"/>
    <mergeCell ref="BA7:BA12"/>
    <mergeCell ref="BB7:BB12"/>
    <mergeCell ref="BI19:BI24"/>
    <mergeCell ref="A31:A36"/>
    <mergeCell ref="B31:B36"/>
    <mergeCell ref="C31:C36"/>
    <mergeCell ref="G31:G36"/>
    <mergeCell ref="M31:M36"/>
    <mergeCell ref="N31:N36"/>
    <mergeCell ref="O31:O36"/>
    <mergeCell ref="P31:P36"/>
    <mergeCell ref="Q31:Q36"/>
    <mergeCell ref="F31:F36"/>
    <mergeCell ref="A1:G3"/>
    <mergeCell ref="A4:L5"/>
    <mergeCell ref="M4:Q4"/>
    <mergeCell ref="U4:BI4"/>
    <mergeCell ref="M5:Q5"/>
    <mergeCell ref="U5:W5"/>
    <mergeCell ref="N43:N48"/>
    <mergeCell ref="O43:O48"/>
    <mergeCell ref="O37:O42"/>
    <mergeCell ref="BH31:BH36"/>
    <mergeCell ref="A7:A12"/>
    <mergeCell ref="B7:B12"/>
    <mergeCell ref="C7:C12"/>
    <mergeCell ref="M7:M12"/>
    <mergeCell ref="F13:F18"/>
    <mergeCell ref="BG7:BG12"/>
    <mergeCell ref="F37:F42"/>
    <mergeCell ref="G25:G30"/>
    <mergeCell ref="M25:M30"/>
    <mergeCell ref="P37:P42"/>
    <mergeCell ref="C19:C24"/>
    <mergeCell ref="G19:G24"/>
    <mergeCell ref="A13:A18"/>
    <mergeCell ref="B13:B18"/>
    <mergeCell ref="C13:C18"/>
    <mergeCell ref="G13:G18"/>
    <mergeCell ref="M13:M18"/>
    <mergeCell ref="Q25:Q30"/>
    <mergeCell ref="BA25:BA30"/>
    <mergeCell ref="BB25:BB30"/>
    <mergeCell ref="A43:A48"/>
    <mergeCell ref="A37:A42"/>
    <mergeCell ref="B37:B42"/>
    <mergeCell ref="C37:C42"/>
    <mergeCell ref="G37:G42"/>
    <mergeCell ref="B43:B48"/>
    <mergeCell ref="C43:C48"/>
    <mergeCell ref="G43:G48"/>
    <mergeCell ref="M43:M48"/>
    <mergeCell ref="Q43:Q48"/>
    <mergeCell ref="BA55:BA60"/>
    <mergeCell ref="BB55:BB60"/>
    <mergeCell ref="BG55:BG60"/>
    <mergeCell ref="BH55:BH60"/>
    <mergeCell ref="BI55:BI60"/>
    <mergeCell ref="A55:A60"/>
    <mergeCell ref="R55:R60"/>
    <mergeCell ref="F49:F54"/>
    <mergeCell ref="F55:F60"/>
    <mergeCell ref="P55:P60"/>
    <mergeCell ref="Q55:Q60"/>
    <mergeCell ref="Q49:Q54"/>
    <mergeCell ref="BA49:BA54"/>
    <mergeCell ref="BB49:BB54"/>
    <mergeCell ref="BG49:BG54"/>
    <mergeCell ref="BH49:BH54"/>
    <mergeCell ref="BI49:BI54"/>
    <mergeCell ref="A49:A54"/>
    <mergeCell ref="B49:B54"/>
    <mergeCell ref="O49:O54"/>
    <mergeCell ref="P49:P54"/>
    <mergeCell ref="C49:C54"/>
    <mergeCell ref="N49:N54"/>
    <mergeCell ref="B55:B60"/>
    <mergeCell ref="O61:O66"/>
    <mergeCell ref="P61:P66"/>
    <mergeCell ref="Q61:Q66"/>
    <mergeCell ref="BA61:BA66"/>
    <mergeCell ref="BB61:BB66"/>
    <mergeCell ref="BG61:BG66"/>
    <mergeCell ref="A61:A66"/>
    <mergeCell ref="B61:B66"/>
    <mergeCell ref="C61:C66"/>
    <mergeCell ref="G61:G66"/>
    <mergeCell ref="M61:M66"/>
    <mergeCell ref="N61:N66"/>
    <mergeCell ref="R61:R66"/>
    <mergeCell ref="F61:F66"/>
    <mergeCell ref="F67:F72"/>
    <mergeCell ref="A73:A78"/>
    <mergeCell ref="B73:B78"/>
    <mergeCell ref="C73:C78"/>
    <mergeCell ref="G73:G78"/>
    <mergeCell ref="M73:M78"/>
    <mergeCell ref="N73:N78"/>
    <mergeCell ref="O73:O78"/>
    <mergeCell ref="P73:P78"/>
    <mergeCell ref="P67:P72"/>
    <mergeCell ref="F73:F78"/>
    <mergeCell ref="A67:A72"/>
    <mergeCell ref="B67:B72"/>
    <mergeCell ref="C67:C72"/>
    <mergeCell ref="G67:G72"/>
    <mergeCell ref="M67:M72"/>
    <mergeCell ref="N67:N72"/>
    <mergeCell ref="O67:O72"/>
    <mergeCell ref="BG85:BG90"/>
    <mergeCell ref="R79:R84"/>
    <mergeCell ref="Q67:Q72"/>
    <mergeCell ref="BA67:BA72"/>
    <mergeCell ref="BB67:BB72"/>
    <mergeCell ref="BG67:BG72"/>
    <mergeCell ref="BH67:BH72"/>
    <mergeCell ref="Q73:Q78"/>
    <mergeCell ref="BA73:BA78"/>
    <mergeCell ref="BB73:BB78"/>
    <mergeCell ref="BG73:BG78"/>
    <mergeCell ref="BH73:BH78"/>
    <mergeCell ref="R67:R72"/>
    <mergeCell ref="R73:R78"/>
    <mergeCell ref="A79:A84"/>
    <mergeCell ref="B79:B84"/>
    <mergeCell ref="C79:C84"/>
    <mergeCell ref="G79:G84"/>
    <mergeCell ref="M79:M84"/>
    <mergeCell ref="N79:N84"/>
    <mergeCell ref="O79:O84"/>
    <mergeCell ref="P79:P84"/>
    <mergeCell ref="Q79:Q84"/>
    <mergeCell ref="A91:A96"/>
    <mergeCell ref="B91:B96"/>
    <mergeCell ref="C91:C96"/>
    <mergeCell ref="G91:G96"/>
    <mergeCell ref="M91:M96"/>
    <mergeCell ref="N91:N96"/>
    <mergeCell ref="P85:P90"/>
    <mergeCell ref="Q85:Q90"/>
    <mergeCell ref="BA85:BA90"/>
    <mergeCell ref="A85:A90"/>
    <mergeCell ref="B85:B90"/>
    <mergeCell ref="C85:C90"/>
    <mergeCell ref="G85:G90"/>
    <mergeCell ref="M85:M90"/>
    <mergeCell ref="N85:N90"/>
    <mergeCell ref="P91:P96"/>
    <mergeCell ref="O85:O90"/>
    <mergeCell ref="R85:R90"/>
    <mergeCell ref="R91:R96"/>
    <mergeCell ref="Q91:Q96"/>
    <mergeCell ref="BA91:BA96"/>
    <mergeCell ref="C97:C102"/>
    <mergeCell ref="G97:G102"/>
    <mergeCell ref="M97:M102"/>
    <mergeCell ref="O97:O102"/>
    <mergeCell ref="R97:R102"/>
    <mergeCell ref="BI103:BI108"/>
    <mergeCell ref="A103:A108"/>
    <mergeCell ref="B103:B108"/>
    <mergeCell ref="C103:C108"/>
    <mergeCell ref="G103:G108"/>
    <mergeCell ref="M103:M108"/>
    <mergeCell ref="N103:N108"/>
    <mergeCell ref="O103:O108"/>
    <mergeCell ref="P103:P108"/>
    <mergeCell ref="Q103:Q108"/>
    <mergeCell ref="R103:R108"/>
    <mergeCell ref="A121:A126"/>
    <mergeCell ref="Q97:Q102"/>
    <mergeCell ref="BA97:BA102"/>
    <mergeCell ref="BB97:BB102"/>
    <mergeCell ref="BG97:BG102"/>
    <mergeCell ref="BH97:BH102"/>
    <mergeCell ref="BA103:BA108"/>
    <mergeCell ref="BB103:BB108"/>
    <mergeCell ref="BG103:BG108"/>
    <mergeCell ref="BH103:BH108"/>
    <mergeCell ref="O109:O114"/>
    <mergeCell ref="P109:P114"/>
    <mergeCell ref="A109:A114"/>
    <mergeCell ref="B109:B114"/>
    <mergeCell ref="C109:C114"/>
    <mergeCell ref="G109:G114"/>
    <mergeCell ref="M109:M114"/>
    <mergeCell ref="N109:N114"/>
    <mergeCell ref="A115:A120"/>
    <mergeCell ref="B115:B120"/>
    <mergeCell ref="C115:C120"/>
    <mergeCell ref="A97:A102"/>
    <mergeCell ref="B97:B102"/>
    <mergeCell ref="N97:N102"/>
    <mergeCell ref="G115:G120"/>
    <mergeCell ref="M115:M120"/>
    <mergeCell ref="N115:N120"/>
    <mergeCell ref="F115:F120"/>
    <mergeCell ref="P115:P120"/>
    <mergeCell ref="B121:B126"/>
    <mergeCell ref="C121:C126"/>
    <mergeCell ref="BH109:BH114"/>
    <mergeCell ref="BI109:BI114"/>
    <mergeCell ref="Q109:Q114"/>
    <mergeCell ref="BA109:BA114"/>
    <mergeCell ref="BB109:BB114"/>
    <mergeCell ref="BG109:BG114"/>
    <mergeCell ref="BI115:BI120"/>
    <mergeCell ref="Q115:Q120"/>
    <mergeCell ref="BA115:BA120"/>
    <mergeCell ref="BB115:BB120"/>
    <mergeCell ref="BG115:BG120"/>
    <mergeCell ref="BH115:BH120"/>
    <mergeCell ref="Q121:Q126"/>
    <mergeCell ref="BA121:BA126"/>
    <mergeCell ref="BB121:BB126"/>
    <mergeCell ref="G121:G126"/>
    <mergeCell ref="M121:M126"/>
    <mergeCell ref="N121:N126"/>
    <mergeCell ref="O121:O126"/>
    <mergeCell ref="P121:P126"/>
    <mergeCell ref="BG121:BG126"/>
    <mergeCell ref="O115:O120"/>
    <mergeCell ref="R7:R12"/>
    <mergeCell ref="R13:R18"/>
    <mergeCell ref="R19:R24"/>
    <mergeCell ref="R25:R30"/>
    <mergeCell ref="R31:R36"/>
    <mergeCell ref="R37:R42"/>
    <mergeCell ref="R43:R48"/>
    <mergeCell ref="R49:R54"/>
    <mergeCell ref="BG43:BG48"/>
    <mergeCell ref="R109:R114"/>
    <mergeCell ref="R115:R120"/>
    <mergeCell ref="R121:R126"/>
    <mergeCell ref="P97:P102"/>
    <mergeCell ref="BA79:BA84"/>
    <mergeCell ref="BB79:BB84"/>
    <mergeCell ref="BG79:BG84"/>
    <mergeCell ref="BB91:BB96"/>
    <mergeCell ref="BG91:BG96"/>
    <mergeCell ref="BB85:BB90"/>
    <mergeCell ref="BI31:BI36"/>
    <mergeCell ref="BH13:BH18"/>
    <mergeCell ref="BI13:BI18"/>
    <mergeCell ref="BA37:BA42"/>
    <mergeCell ref="BB37:BB42"/>
    <mergeCell ref="BG37:BG42"/>
    <mergeCell ref="BG25:BG30"/>
    <mergeCell ref="BG31:BG36"/>
    <mergeCell ref="BG13:BG18"/>
    <mergeCell ref="BI25:BI30"/>
    <mergeCell ref="BH25:BH30"/>
    <mergeCell ref="BA31:BA36"/>
    <mergeCell ref="BB31:BB36"/>
    <mergeCell ref="BI37:BI42"/>
    <mergeCell ref="BH121:BH126"/>
    <mergeCell ref="BI121:BI126"/>
    <mergeCell ref="BI73:BI78"/>
    <mergeCell ref="BI91:BI96"/>
    <mergeCell ref="BH61:BH66"/>
    <mergeCell ref="BI61:BI66"/>
    <mergeCell ref="BI67:BI72"/>
    <mergeCell ref="BH43:BH48"/>
    <mergeCell ref="BH37:BH42"/>
    <mergeCell ref="BI97:BI102"/>
    <mergeCell ref="BH79:BH84"/>
    <mergeCell ref="BI79:BI84"/>
    <mergeCell ref="BH91:BH96"/>
    <mergeCell ref="BH85:BH90"/>
    <mergeCell ref="BI85:BI90"/>
    <mergeCell ref="BI43:BI48"/>
    <mergeCell ref="BK7:BK12"/>
    <mergeCell ref="BL7:BL12"/>
    <mergeCell ref="BM7:BM12"/>
    <mergeCell ref="BJ13:BJ18"/>
    <mergeCell ref="BK13:BK18"/>
    <mergeCell ref="BL13:BL18"/>
    <mergeCell ref="BM13:BM18"/>
    <mergeCell ref="BJ19:BJ24"/>
    <mergeCell ref="BK19:BK24"/>
    <mergeCell ref="BL19:BL24"/>
    <mergeCell ref="BM19:BM24"/>
    <mergeCell ref="BJ7:BJ12"/>
    <mergeCell ref="BJ109:BJ114"/>
    <mergeCell ref="BK109:BK114"/>
    <mergeCell ref="BL109:BL114"/>
    <mergeCell ref="BM109:BM114"/>
    <mergeCell ref="BJ43:BJ48"/>
    <mergeCell ref="BK43:BK48"/>
    <mergeCell ref="BL43:BL48"/>
    <mergeCell ref="BM43:BM48"/>
    <mergeCell ref="BJ49:BJ54"/>
    <mergeCell ref="BK49:BK54"/>
    <mergeCell ref="BL49:BL54"/>
    <mergeCell ref="BM49:BM54"/>
    <mergeCell ref="BJ55:BJ60"/>
    <mergeCell ref="BK55:BK60"/>
    <mergeCell ref="BL55:BL60"/>
    <mergeCell ref="BM55:BM60"/>
    <mergeCell ref="BJ61:BJ66"/>
    <mergeCell ref="BJ67:BJ72"/>
    <mergeCell ref="BK67:BK72"/>
    <mergeCell ref="BL67:BL72"/>
    <mergeCell ref="BM67:BM72"/>
    <mergeCell ref="BJ73:BJ78"/>
    <mergeCell ref="BK73:BK78"/>
    <mergeCell ref="BL73:BL78"/>
    <mergeCell ref="BK25:BK30"/>
    <mergeCell ref="BL25:BL30"/>
    <mergeCell ref="BM25:BM30"/>
    <mergeCell ref="BJ103:BJ108"/>
    <mergeCell ref="BK103:BK108"/>
    <mergeCell ref="BL103:BL108"/>
    <mergeCell ref="BM103:BM108"/>
    <mergeCell ref="BK31:BK36"/>
    <mergeCell ref="BL31:BL36"/>
    <mergeCell ref="BM31:BM36"/>
    <mergeCell ref="BJ37:BJ42"/>
    <mergeCell ref="BK37:BK42"/>
    <mergeCell ref="BL37:BL42"/>
    <mergeCell ref="BM37:BM42"/>
    <mergeCell ref="BM73:BM78"/>
    <mergeCell ref="BJ31:BJ36"/>
    <mergeCell ref="BJ25:BJ30"/>
    <mergeCell ref="BK61:BK66"/>
    <mergeCell ref="BL61:BL66"/>
    <mergeCell ref="BM61:BM66"/>
    <mergeCell ref="BJ115:BJ120"/>
    <mergeCell ref="BK115:BK120"/>
    <mergeCell ref="BL115:BL120"/>
    <mergeCell ref="BM115:BM120"/>
    <mergeCell ref="BJ121:BJ126"/>
    <mergeCell ref="BK121:BK126"/>
    <mergeCell ref="BL121:BL126"/>
    <mergeCell ref="BM121:BM126"/>
    <mergeCell ref="BJ79:BJ84"/>
    <mergeCell ref="BK79:BK84"/>
    <mergeCell ref="BL79:BL84"/>
    <mergeCell ref="BM79:BM84"/>
    <mergeCell ref="BJ85:BJ90"/>
    <mergeCell ref="BK85:BK90"/>
    <mergeCell ref="BL85:BL90"/>
    <mergeCell ref="BM85:BM90"/>
    <mergeCell ref="BJ91:BJ96"/>
    <mergeCell ref="BK91:BK96"/>
    <mergeCell ref="BL91:BL96"/>
    <mergeCell ref="BM91:BM96"/>
    <mergeCell ref="BJ97:BJ102"/>
    <mergeCell ref="BK97:BK102"/>
    <mergeCell ref="BL97:BL102"/>
    <mergeCell ref="BM97:BM102"/>
  </mergeCells>
  <conditionalFormatting sqref="Q7 S7:T7">
    <cfRule type="cellIs" dxfId="16" priority="16" operator="equal">
      <formula>"Extremo"</formula>
    </cfRule>
    <cfRule type="cellIs" dxfId="15" priority="17" operator="equal">
      <formula>"Alto"</formula>
    </cfRule>
    <cfRule type="cellIs" dxfId="14" priority="18" operator="equal">
      <formula>"Moderado"</formula>
    </cfRule>
    <cfRule type="cellIs" dxfId="13" priority="19" operator="equal">
      <formula>"Bajo"</formula>
    </cfRule>
  </conditionalFormatting>
  <conditionalFormatting sqref="Q13 S13:T13 Q19 S19:T19 Q25 S25:T25 Q31 S31:T31 Q37 S37:T37 Q43 S43:T43 Q49 S49:T49 Q55 S55:T55 Q61 S61:T61 Q67 S67:T67 Q73 S73:T73 Q79 S79:T79 Q85 S85:T85 Q91 S91:T91 Q97 S97:T97 Q103 S103:T103 Q109 S109:T109 Q115 S115:T115 Q121 S121:T121">
    <cfRule type="cellIs" dxfId="12" priority="8" operator="equal">
      <formula>"Extremo"</formula>
    </cfRule>
    <cfRule type="cellIs" dxfId="11" priority="9" operator="equal">
      <formula>"Alto"</formula>
    </cfRule>
    <cfRule type="cellIs" dxfId="10" priority="10" operator="equal">
      <formula>"Moderado"</formula>
    </cfRule>
    <cfRule type="cellIs" dxfId="9" priority="11" operator="equal">
      <formula>"Bajo"</formula>
    </cfRule>
  </conditionalFormatting>
  <conditionalFormatting sqref="BI7">
    <cfRule type="cellIs" dxfId="8" priority="12" operator="equal">
      <formula>"Extremo"</formula>
    </cfRule>
    <cfRule type="cellIs" dxfId="7" priority="13" operator="equal">
      <formula>"Alto"</formula>
    </cfRule>
    <cfRule type="cellIs" dxfId="6" priority="14" operator="equal">
      <formula>"Moderado"</formula>
    </cfRule>
    <cfRule type="cellIs" dxfId="5" priority="15" operator="equal">
      <formula>"Bajo"</formula>
    </cfRule>
  </conditionalFormatting>
  <conditionalFormatting sqref="BI13 BI19 BI25 BI31 BI37 BI43 BI49 BI55 BI61 BI67 BI73 BI79 BI85 BI91 BI97 BI103 BI109 BI115 BI121">
    <cfRule type="cellIs" dxfId="4" priority="4" operator="equal">
      <formula>"Extremo"</formula>
    </cfRule>
    <cfRule type="cellIs" dxfId="3" priority="5" operator="equal">
      <formula>"Alto"</formula>
    </cfRule>
    <cfRule type="cellIs" dxfId="2" priority="6" operator="equal">
      <formula>"Moderado"</formula>
    </cfRule>
    <cfRule type="cellIs" dxfId="1" priority="7" operator="equal">
      <formula>"Bajo"</formula>
    </cfRule>
  </conditionalFormatting>
  <dataValidations count="36">
    <dataValidation allowBlank="1" showInputMessage="1" showErrorMessage="1" prompt="Fuerte: 100_x000a__x000a_Moderado: Entre 50 y 99_x000a__x000a_Débil: Menor a 50" sqref="BB6"/>
    <dataValidation allowBlank="1" showInputMessage="1" showErrorMessage="1" prompt="Fuerte: 100_x000a__x000a_Moderado: 50_x000a__x000a_Débil: 0" sqref="AZ6"/>
    <dataValidation allowBlank="1" showInputMessage="1" showErrorMessage="1" prompt="Fuerte: Siempre se ejecuta_x000a__x000a_Moderado: Algunas veces_x000a__x000a_Débil: No se ejecuta " sqref="AN6:AO6"/>
    <dataValidation allowBlank="1" showInputMessage="1" showErrorMessage="1" prompt="Fuerte: Calificación entre 96 y 100_x000a__x000a_Moderado: Calificación entre 86 y 95_x000a__x000a_Débil: Calificación entre 0 y 85" sqref="AM6 AX6"/>
    <dataValidation allowBlank="1" showInputMessage="1" showErrorMessage="1" prompt="- Confiable (15)_x000a__x000a_- No Confiable (0)_x000a_" sqref="AF6:AG6"/>
    <dataValidation allowBlank="1" showInputMessage="1" showErrorMessage="1" prompt="- Prevenir (15)_x000a__x000a_- Detectar (10)_x000a__x000a_- No es un Control (0)" sqref="AD6:AE6"/>
    <dataValidation allowBlank="1" showInputMessage="1" showErrorMessage="1" prompt="- Oportuna (15)_x000a__x000a_- Inoportuna (0)_x000a_" sqref="AB6:AC6"/>
    <dataValidation allowBlank="1" showInputMessage="1" showErrorMessage="1" prompt="- Asignado (15)_x000a__x000a_- No Asignado (0)" sqref="X6:Y6"/>
    <dataValidation allowBlank="1" showInputMessage="1" showErrorMessage="1" prompt="Preventivo: Diseñados para evitar un evento no deseado en el momento que se produce, es decir intenta evitar la ocurrencia_x000a__x000a_Detectivos: Diseñados para identificar un evento o resultado no previsto después de que se haya producido, es decir corregir " sqref="W6"/>
    <dataValidation allowBlank="1" showInputMessage="1" showErrorMessage="1" prompt="Completa (10)_x000a__x000a_Incompleta (5)_x000a__x000a_No esxiste (0)" sqref="AJ6:AK6"/>
    <dataValidation allowBlank="1" showInputMessage="1" showErrorMessage="1" prompt="- Se investigan y se resuelven Oportunamente (15)_x000a__x000a_- No se investigan y resuelven Oportunamente (0)_x000a_" sqref="AH6:AI6"/>
    <dataValidation allowBlank="1" showInputMessage="1" showErrorMessage="1" prompt="- Adecuado (15)_x000a__x000a_- Inadecuado (0)_x000a_" sqref="Z6:AA6"/>
    <dataValidation allowBlank="1" showInputMessage="1" showErrorMessage="1" prompt="Promedio entre el diseño Total de Control y Total Solidez Individual " sqref="BA6"/>
    <dataValidation allowBlank="1" showInputMessage="1" showErrorMessage="1" prompt="Fuerte+Fuerte=Fuerte_x000a_Fuerte+Moderado=Moderado_x000a_Fuerte+Débil=Débil_x000a_Moderado+Fuerte=Moderado_x000a_Moderado+Moderado=Moderado_x000a_Moderado+Débil=Débil_x000a_Débil+Fuerte=Débil_x000a_Débil+Moderado=Débil_x000a_Débil+Débil=Débil" sqref="AY6"/>
    <dataValidation allowBlank="1" showInputMessage="1" showErrorMessage="1" prompt="Si el resultado de las calificaciones del control o promedio en el diseño de los controles, está por debajo de 96%, se debe establecer un plan de acción que permita tener un control bien diseñado" sqref="AL6 AW6"/>
    <dataValidation allowBlank="1" showInputMessage="1" showErrorMessage="1" prompt="Responder afirmativamente de UNA a CINCO pregunta(s) genera un impacto MODERADO._x000a__x000a_Responder afirmativamente de SEIS a ONCE preguntas genera un impacto MAYOR._x000a__x000a_Responder afirmativamente de DOCE a DIECINUEVE preguntas genera un impacto CATASTRÓFICO." sqref="N6:P6"/>
    <dataValidation allowBlank="1" showInputMessage="1" showErrorMessage="1" prompt="Casi Seguro (5): Se espera que evento ocurra en la mayoría _x000a_Probable (4): Es viable que el evento ocurra en la mayoría_x000a_Posible (3): Puede ocurrir en algún momento. Últimos 2 años_x000a_Improbable (2): Puede Ocurrir en algún momento. Últimos 5 años_x000a_Rara Vez (1)" sqref="M6"/>
    <dataValidation type="list" allowBlank="1" showInputMessage="1" showErrorMessage="1" sqref="V31:V36">
      <formula1>$H$31:$H$36</formula1>
    </dataValidation>
    <dataValidation type="list" allowBlank="1" showInputMessage="1" showErrorMessage="1" sqref="V37:V42">
      <formula1>$H$37:$H$42</formula1>
    </dataValidation>
    <dataValidation type="list" allowBlank="1" showInputMessage="1" showErrorMessage="1" sqref="V43:V48">
      <formula1>$H$43:$H$48</formula1>
    </dataValidation>
    <dataValidation type="list" allowBlank="1" showInputMessage="1" showErrorMessage="1" sqref="V49:V54">
      <formula1>$H$49:$H$54</formula1>
    </dataValidation>
    <dataValidation type="list" allowBlank="1" showInputMessage="1" showErrorMessage="1" sqref="V55:V60">
      <formula1>$H$55:$H$60</formula1>
    </dataValidation>
    <dataValidation type="list" allowBlank="1" showInputMessage="1" showErrorMessage="1" sqref="V61:V66">
      <formula1>$H$61:$H$66</formula1>
    </dataValidation>
    <dataValidation type="list" allowBlank="1" showInputMessage="1" showErrorMessage="1" sqref="V67:V72">
      <formula1>$H$67:$H$72</formula1>
    </dataValidation>
    <dataValidation type="list" allowBlank="1" showInputMessage="1" showErrorMessage="1" sqref="V73:V78">
      <formula1>$H$73:$H$78</formula1>
    </dataValidation>
    <dataValidation type="list" allowBlank="1" showInputMessage="1" showErrorMessage="1" sqref="V79:V84">
      <formula1>$H$79:$H$84</formula1>
    </dataValidation>
    <dataValidation type="list" allowBlank="1" showInputMessage="1" showErrorMessage="1" sqref="V85:V90">
      <formula1>$H$85:$H$90</formula1>
    </dataValidation>
    <dataValidation type="list" allowBlank="1" showInputMessage="1" showErrorMessage="1" sqref="V91:V96">
      <formula1>$H$91:$H$96</formula1>
    </dataValidation>
    <dataValidation type="list" allowBlank="1" showInputMessage="1" showErrorMessage="1" sqref="V97:V102">
      <formula1>$H$97:$H$102</formula1>
    </dataValidation>
    <dataValidation type="list" allowBlank="1" showInputMessage="1" showErrorMessage="1" sqref="V103:V108">
      <formula1>$H$103:$H$108</formula1>
    </dataValidation>
    <dataValidation type="list" allowBlank="1" showInputMessage="1" showErrorMessage="1" sqref="V109:V114">
      <formula1>$H$109:$H$114</formula1>
    </dataValidation>
    <dataValidation type="list" allowBlank="1" showInputMessage="1" showErrorMessage="1" sqref="V115:V120">
      <formula1>$H$115:$H$120</formula1>
    </dataValidation>
    <dataValidation type="list" allowBlank="1" showInputMessage="1" showErrorMessage="1" sqref="V121:V126">
      <formula1>$H$121:$H$126</formula1>
    </dataValidation>
    <dataValidation type="list" allowBlank="1" showInputMessage="1" showErrorMessage="1" sqref="G7:G18 T7:T126 J7:J126">
      <formula1>INDIRECT(F7)</formula1>
    </dataValidation>
    <dataValidation type="list" allowBlank="1" showInputMessage="1" showErrorMessage="1" sqref="V7:V30">
      <formula1>$J7:$J12</formula1>
    </dataValidation>
    <dataValidation type="list" allowBlank="1" showInputMessage="1" showErrorMessage="1" sqref="H7:H126">
      <formula1>INDIRECT(E7)</formula1>
    </dataValidation>
  </dataValidations>
  <printOptions horizontalCentered="1"/>
  <pageMargins left="0" right="0" top="0.35433070866141736" bottom="0.35433070866141736" header="0.31496062992125984" footer="0.31496062992125984"/>
  <pageSetup paperSize="5" scale="50" pageOrder="overThenDown" orientation="portrait" r:id="rId1"/>
  <headerFooter>
    <oddFooter>&amp;CPág. &amp;P de &amp;N</oddFooter>
  </headerFooter>
  <drawing r:id="rId2"/>
  <legacyDrawing r:id="rId3"/>
  <extLst>
    <ext xmlns:x14="http://schemas.microsoft.com/office/spreadsheetml/2009/9/main" uri="{CCE6A557-97BC-4b89-ADB6-D9C93CAAB3DF}">
      <x14:dataValidations xmlns:xm="http://schemas.microsoft.com/office/excel/2006/main" count="15">
        <x14:dataValidation type="list" allowBlank="1" showInputMessage="1" showErrorMessage="1">
          <x14:formula1>
            <xm:f>Listados!$G$3:$G$7</xm:f>
          </x14:formula1>
          <xm:sqref>O7:O126</xm:sqref>
        </x14:dataValidation>
        <x14:dataValidation type="list" allowBlank="1" showInputMessage="1" showErrorMessage="1">
          <x14:formula1>
            <xm:f>Listados!$B$26:$B$27</xm:f>
          </x14:formula1>
          <xm:sqref>AB7:AB126 X7:X126 AD7:AD126 AF7:AF126 AH7:AH126 Z7:Z1048576</xm:sqref>
        </x14:dataValidation>
        <x14:dataValidation type="list" allowBlank="1" showInputMessage="1" showErrorMessage="1">
          <x14:formula1>
            <xm:f>Corrupción!$J$3:$J$7</xm:f>
          </x14:formula1>
          <xm:sqref>M7:M126</xm:sqref>
        </x14:dataValidation>
        <x14:dataValidation type="list" allowBlank="1" showInputMessage="1" showErrorMessage="1">
          <x14:formula1>
            <xm:f>Listados!$B$3:$B$20</xm:f>
          </x14:formula1>
          <xm:sqref>B7:B13 B19 B25 B31 B37 B43 B49 B55 B61 B67 B73 B79 B85 B91 B97 B103 B109 B115 B121</xm:sqref>
        </x14:dataValidation>
        <x14:dataValidation type="list" allowBlank="1" showInputMessage="1" showErrorMessage="1">
          <x14:formula1>
            <xm:f>Listados!$G$29:$G$30</xm:f>
          </x14:formula1>
          <xm:sqref>W7:W126</xm:sqref>
        </x14:dataValidation>
        <x14:dataValidation type="list" allowBlank="1" showInputMessage="1" showErrorMessage="1">
          <x14:formula1>
            <xm:f>Listados!$C$26:$C$28</xm:f>
          </x14:formula1>
          <xm:sqref>AJ7:AJ126</xm:sqref>
        </x14:dataValidation>
        <x14:dataValidation type="list" allowBlank="1" showInputMessage="1" showErrorMessage="1">
          <x14:formula1>
            <xm:f>'Seguridad Información'!$B$2:$B$8</xm:f>
          </x14:formula1>
          <xm:sqref>E7:E126</xm:sqref>
        </x14:dataValidation>
        <x14:dataValidation type="list" allowBlank="1" showInputMessage="1" showErrorMessage="1">
          <x14:formula1>
            <xm:f>'Seguridad Información'!$B$13:$H$13</xm:f>
          </x14:formula1>
          <xm:sqref>F7 F13 F19 F25 F31 F37 F43 F49 F55 F61 F67 F73 F79 F85 F91 F97 F103 F109 F115 F121</xm:sqref>
        </x14:dataValidation>
        <x14:dataValidation type="list" allowBlank="1" showInputMessage="1" showErrorMessage="1">
          <x14:formula1>
            <xm:f>'Seguridad Información'!$B$19:$H$19</xm:f>
          </x14:formula1>
          <xm:sqref>I7:I126</xm:sqref>
        </x14:dataValidation>
        <x14:dataValidation type="list" allowBlank="1" showInputMessage="1" showErrorMessage="1">
          <x14:formula1>
            <xm:f>'Seguridad Información'!$B$44:$O$44</xm:f>
          </x14:formula1>
          <xm:sqref>S7:S126</xm:sqref>
        </x14:dataValidation>
        <x14:dataValidation type="list" allowBlank="1" showInputMessage="1" showErrorMessage="1">
          <x14:formula1>
            <xm:f>'Seguridad Información'!$C$61:$C$63</xm:f>
          </x14:formula1>
          <xm:sqref>AN7:AN126</xm:sqref>
        </x14:dataValidation>
        <x14:dataValidation type="list" allowBlank="1" showInputMessage="1" showErrorMessage="1">
          <x14:formula1>
            <xm:f>'Seguridad Información'!$E$61:$E$64</xm:f>
          </x14:formula1>
          <xm:sqref>AP7:AP126</xm:sqref>
        </x14:dataValidation>
        <x14:dataValidation type="list" allowBlank="1" showInputMessage="1" showErrorMessage="1">
          <x14:formula1>
            <xm:f>'Seguridad Información'!$G$61:$G$64</xm:f>
          </x14:formula1>
          <xm:sqref>AR7:AR126</xm:sqref>
        </x14:dataValidation>
        <x14:dataValidation type="list" allowBlank="1" showInputMessage="1" showErrorMessage="1">
          <x14:formula1>
            <xm:f>'Seguridad Información'!$I$61:$I$65</xm:f>
          </x14:formula1>
          <xm:sqref>AT7:AT126</xm:sqref>
        </x14:dataValidation>
        <x14:dataValidation type="list" allowBlank="1" showInputMessage="1" showErrorMessage="1">
          <x14:formula1>
            <xm:f>Listados!$E$3:$E$4</xm:f>
          </x14:formula1>
          <xm:sqref>K7:K1048576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E28"/>
  <sheetViews>
    <sheetView zoomScale="110" zoomScaleNormal="110" workbookViewId="0">
      <selection activeCell="D10" sqref="D10"/>
    </sheetView>
  </sheetViews>
  <sheetFormatPr baseColWidth="10" defaultColWidth="11.42578125" defaultRowHeight="15"/>
  <cols>
    <col min="1" max="1" width="4.28515625" style="63" customWidth="1"/>
    <col min="2" max="2" width="11.42578125" style="63"/>
    <col min="3" max="3" width="47.7109375" style="63" bestFit="1" customWidth="1"/>
    <col min="4" max="4" width="54.140625" style="63" customWidth="1"/>
    <col min="5" max="5" width="27.140625" style="63" customWidth="1"/>
    <col min="6" max="16384" width="11.42578125" style="63"/>
  </cols>
  <sheetData>
    <row r="5" spans="2:5" ht="14.25" customHeight="1" thickBot="1"/>
    <row r="6" spans="2:5" ht="15.75" thickBot="1">
      <c r="B6" s="64" t="s">
        <v>1184</v>
      </c>
      <c r="C6" s="65" t="s">
        <v>1185</v>
      </c>
      <c r="D6" s="66" t="s">
        <v>1186</v>
      </c>
    </row>
    <row r="7" spans="2:5" ht="30">
      <c r="B7" s="306" t="s">
        <v>1187</v>
      </c>
      <c r="C7" s="409" t="s">
        <v>1188</v>
      </c>
      <c r="D7" s="307" t="s">
        <v>1189</v>
      </c>
      <c r="E7" s="69"/>
    </row>
    <row r="8" spans="2:5" ht="30">
      <c r="B8" s="308" t="s">
        <v>1190</v>
      </c>
      <c r="C8" s="410" t="s">
        <v>1191</v>
      </c>
      <c r="D8" s="309" t="s">
        <v>1192</v>
      </c>
      <c r="E8" s="411"/>
    </row>
    <row r="9" spans="2:5" ht="66" customHeight="1">
      <c r="B9" s="310" t="s">
        <v>1193</v>
      </c>
      <c r="C9" s="412" t="s">
        <v>1194</v>
      </c>
      <c r="D9" s="311" t="s">
        <v>1195</v>
      </c>
      <c r="E9" s="413" t="s">
        <v>1196</v>
      </c>
    </row>
    <row r="10" spans="2:5" ht="45">
      <c r="B10" s="312" t="s">
        <v>1197</v>
      </c>
      <c r="C10" s="414" t="s">
        <v>1198</v>
      </c>
      <c r="D10" s="313" t="s">
        <v>1199</v>
      </c>
    </row>
    <row r="11" spans="2:5" ht="30">
      <c r="B11" s="314" t="s">
        <v>1200</v>
      </c>
      <c r="C11" s="415" t="s">
        <v>1201</v>
      </c>
      <c r="D11" s="315" t="s">
        <v>1202</v>
      </c>
    </row>
    <row r="12" spans="2:5" ht="30">
      <c r="B12" s="316" t="s">
        <v>1203</v>
      </c>
      <c r="C12" s="416" t="s">
        <v>1204</v>
      </c>
      <c r="D12" s="317" t="s">
        <v>1205</v>
      </c>
    </row>
    <row r="13" spans="2:5">
      <c r="B13" s="318" t="s">
        <v>1206</v>
      </c>
      <c r="C13" s="417" t="s">
        <v>1207</v>
      </c>
      <c r="D13" s="319" t="s">
        <v>1208</v>
      </c>
    </row>
    <row r="14" spans="2:5" ht="30">
      <c r="B14" s="318" t="s">
        <v>1209</v>
      </c>
      <c r="C14" s="417" t="s">
        <v>1210</v>
      </c>
      <c r="D14" s="319" t="s">
        <v>1211</v>
      </c>
    </row>
    <row r="15" spans="2:5" ht="30.75" thickBot="1">
      <c r="B15" s="418" t="s">
        <v>1212</v>
      </c>
      <c r="C15" s="320" t="s">
        <v>1213</v>
      </c>
      <c r="D15" s="67" t="s">
        <v>1214</v>
      </c>
    </row>
    <row r="16" spans="2:5" ht="15.75" thickBot="1"/>
    <row r="17" spans="2:5" ht="15.75" thickBot="1">
      <c r="B17" s="973" t="s">
        <v>1215</v>
      </c>
      <c r="C17" s="974"/>
      <c r="D17" s="975"/>
    </row>
    <row r="18" spans="2:5" ht="15.75" thickBot="1"/>
    <row r="19" spans="2:5">
      <c r="B19" s="976" t="str">
        <f>+CONCATENATE(D7," ",D8," ",D9," ",D10," ",D11," ",D12)</f>
        <v>El tesorero, el secretario general y/o el cordinador del grupo de gestión financiera, Cada vez que se requiera realizar un movimiento bancario y Con el fin de prevenir que los movimientos que se den por ventanilla sean suplantados, Todas las solicitudes de débitos o traslados se realizarán mediante oficio con dos firmas de aprobación que se encuentren autorizadas ante la entidad bancaria. Si no se cuenta con las dos firmas de aprobación, no se podrá realizar el débito o traslado bancario. Como evidencia queda el oficio radicado ante entidad bancaria con las dos firmas.</v>
      </c>
      <c r="C19" s="977"/>
      <c r="D19" s="978"/>
      <c r="E19" s="63" t="s">
        <v>1216</v>
      </c>
    </row>
    <row r="20" spans="2:5">
      <c r="B20" s="979"/>
      <c r="C20" s="980"/>
      <c r="D20" s="981"/>
    </row>
    <row r="21" spans="2:5">
      <c r="B21" s="979"/>
      <c r="C21" s="980"/>
      <c r="D21" s="981"/>
      <c r="E21" s="63" t="s">
        <v>1217</v>
      </c>
    </row>
    <row r="22" spans="2:5">
      <c r="B22" s="979"/>
      <c r="C22" s="980"/>
      <c r="D22" s="981"/>
      <c r="E22" s="63" t="s">
        <v>1218</v>
      </c>
    </row>
    <row r="23" spans="2:5">
      <c r="B23" s="979"/>
      <c r="C23" s="980"/>
      <c r="D23" s="981"/>
    </row>
    <row r="24" spans="2:5">
      <c r="B24" s="979"/>
      <c r="C24" s="980"/>
      <c r="D24" s="981"/>
    </row>
    <row r="25" spans="2:5" ht="87" customHeight="1" thickBot="1">
      <c r="B25" s="982"/>
      <c r="C25" s="983"/>
      <c r="D25" s="984"/>
    </row>
    <row r="28" spans="2:5">
      <c r="C28" s="68"/>
    </row>
  </sheetData>
  <mergeCells count="2">
    <mergeCell ref="B17:D17"/>
    <mergeCell ref="B19:D2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'D:\C:\Users\DIGITAL EXITO\Downloads\[Corrupción (1).xlsx]Hoja2'!#REF!</xm:f>
          </x14:formula1>
          <xm:sqref>D13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I16"/>
  <sheetViews>
    <sheetView topLeftCell="C1" workbookViewId="0">
      <selection activeCell="C8" sqref="C8:F9"/>
    </sheetView>
  </sheetViews>
  <sheetFormatPr baseColWidth="10" defaultColWidth="11.42578125" defaultRowHeight="15"/>
  <cols>
    <col min="3" max="3" width="24.85546875" bestFit="1" customWidth="1"/>
    <col min="4" max="4" width="53.28515625" bestFit="1" customWidth="1"/>
    <col min="5" max="5" width="45.5703125" bestFit="1" customWidth="1"/>
    <col min="6" max="6" width="30.5703125" customWidth="1"/>
    <col min="7" max="7" width="18.7109375" customWidth="1"/>
  </cols>
  <sheetData>
    <row r="3" spans="3:9" ht="15.75" thickBot="1"/>
    <row r="4" spans="3:9">
      <c r="C4" s="985" t="s">
        <v>1219</v>
      </c>
      <c r="D4" s="986"/>
      <c r="E4" s="986"/>
      <c r="F4" s="986"/>
      <c r="G4" s="987"/>
    </row>
    <row r="5" spans="3:9" ht="15.75" thickBot="1">
      <c r="C5" s="988"/>
      <c r="D5" s="989"/>
      <c r="E5" s="989"/>
      <c r="F5" s="989"/>
      <c r="G5" s="990"/>
    </row>
    <row r="6" spans="3:9">
      <c r="C6" s="22"/>
      <c r="D6" s="22"/>
      <c r="E6" s="22"/>
      <c r="F6" s="22"/>
      <c r="G6" s="22"/>
    </row>
    <row r="7" spans="3:9">
      <c r="C7" t="s">
        <v>1220</v>
      </c>
      <c r="D7" t="s">
        <v>1221</v>
      </c>
      <c r="E7" t="s">
        <v>1222</v>
      </c>
      <c r="F7" t="s">
        <v>1223</v>
      </c>
      <c r="G7" t="s">
        <v>1224</v>
      </c>
    </row>
    <row r="8" spans="3:9" ht="70.5" customHeight="1">
      <c r="C8" s="21"/>
      <c r="D8" s="21" t="s">
        <v>1225</v>
      </c>
      <c r="E8" s="21" t="s">
        <v>1226</v>
      </c>
      <c r="F8" s="21" t="s">
        <v>1227</v>
      </c>
      <c r="G8" s="21" t="s">
        <v>1228</v>
      </c>
    </row>
    <row r="9" spans="3:9" ht="75">
      <c r="C9" s="21"/>
      <c r="D9" s="21" t="s">
        <v>1229</v>
      </c>
    </row>
    <row r="10" spans="3:9">
      <c r="C10" s="21"/>
    </row>
    <row r="11" spans="3:9">
      <c r="C11" s="21"/>
    </row>
    <row r="16" spans="3:9">
      <c r="I16" s="21"/>
    </row>
  </sheetData>
  <mergeCells count="1">
    <mergeCell ref="C4:G5"/>
  </mergeCells>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21"/>
  <sheetViews>
    <sheetView topLeftCell="A58" workbookViewId="0">
      <selection activeCell="A79" sqref="A79"/>
    </sheetView>
  </sheetViews>
  <sheetFormatPr baseColWidth="10" defaultColWidth="11.42578125" defaultRowHeight="15"/>
  <cols>
    <col min="7" max="7" width="27" customWidth="1"/>
    <col min="8" max="8" width="16.28515625" customWidth="1"/>
    <col min="9" max="9" width="20.140625" customWidth="1"/>
    <col min="11" max="11" width="76.42578125" customWidth="1"/>
    <col min="12" max="12" width="39.140625" customWidth="1"/>
  </cols>
  <sheetData>
    <row r="1" spans="2:13">
      <c r="B1" s="26" t="s">
        <v>1230</v>
      </c>
      <c r="G1" s="991" t="s">
        <v>1231</v>
      </c>
      <c r="H1" s="991"/>
      <c r="I1" s="991"/>
      <c r="J1" s="991"/>
      <c r="K1" s="991"/>
      <c r="L1" s="991"/>
      <c r="M1" s="991"/>
    </row>
    <row r="2" spans="2:13">
      <c r="B2" s="400" t="s">
        <v>1232</v>
      </c>
      <c r="G2" s="400" t="s">
        <v>1232</v>
      </c>
      <c r="H2" s="246" t="s">
        <v>1233</v>
      </c>
      <c r="I2" s="400" t="s">
        <v>1234</v>
      </c>
      <c r="J2" s="400" t="s">
        <v>1235</v>
      </c>
      <c r="K2" s="400" t="s">
        <v>1236</v>
      </c>
      <c r="L2" s="247" t="s">
        <v>1237</v>
      </c>
      <c r="M2" s="400" t="s">
        <v>1238</v>
      </c>
    </row>
    <row r="3" spans="2:13">
      <c r="B3" s="400" t="s">
        <v>1238</v>
      </c>
      <c r="G3" s="400" t="s">
        <v>1239</v>
      </c>
      <c r="H3" s="246" t="s">
        <v>1240</v>
      </c>
      <c r="I3" s="400" t="s">
        <v>1241</v>
      </c>
      <c r="J3" s="400" t="s">
        <v>1242</v>
      </c>
      <c r="K3" s="400" t="s">
        <v>1243</v>
      </c>
      <c r="L3" s="247" t="s">
        <v>1244</v>
      </c>
      <c r="M3" s="400" t="s">
        <v>1245</v>
      </c>
    </row>
    <row r="4" spans="2:13">
      <c r="B4" s="400" t="s">
        <v>1236</v>
      </c>
      <c r="G4" s="400" t="s">
        <v>1246</v>
      </c>
      <c r="I4" s="400" t="s">
        <v>1247</v>
      </c>
      <c r="J4" s="400" t="s">
        <v>1248</v>
      </c>
      <c r="K4" s="400" t="s">
        <v>1249</v>
      </c>
      <c r="L4" s="247" t="s">
        <v>1250</v>
      </c>
      <c r="M4" s="400" t="s">
        <v>1251</v>
      </c>
    </row>
    <row r="5" spans="2:13">
      <c r="B5" s="400" t="s">
        <v>1252</v>
      </c>
      <c r="G5" s="400" t="s">
        <v>1253</v>
      </c>
      <c r="I5" s="400" t="s">
        <v>1254</v>
      </c>
      <c r="J5" s="400" t="s">
        <v>1255</v>
      </c>
      <c r="K5" s="400" t="s">
        <v>1256</v>
      </c>
      <c r="L5" s="247" t="s">
        <v>1257</v>
      </c>
      <c r="M5" s="400" t="s">
        <v>1258</v>
      </c>
    </row>
    <row r="6" spans="2:13">
      <c r="B6" s="400" t="s">
        <v>1259</v>
      </c>
      <c r="G6" s="400" t="s">
        <v>1260</v>
      </c>
      <c r="J6" s="400" t="s">
        <v>1261</v>
      </c>
      <c r="K6" s="400" t="s">
        <v>1262</v>
      </c>
      <c r="L6" s="247" t="s">
        <v>1263</v>
      </c>
      <c r="M6" s="400" t="s">
        <v>1264</v>
      </c>
    </row>
    <row r="7" spans="2:13">
      <c r="B7" s="400" t="s">
        <v>1265</v>
      </c>
      <c r="G7" s="400" t="s">
        <v>1266</v>
      </c>
      <c r="J7" s="400" t="s">
        <v>1267</v>
      </c>
      <c r="K7" s="400" t="s">
        <v>1268</v>
      </c>
      <c r="L7" s="247" t="s">
        <v>1269</v>
      </c>
      <c r="M7" s="400"/>
    </row>
    <row r="8" spans="2:13">
      <c r="B8" s="400" t="s">
        <v>1270</v>
      </c>
      <c r="G8" s="400" t="s">
        <v>1271</v>
      </c>
      <c r="J8" s="400" t="s">
        <v>1272</v>
      </c>
      <c r="K8" s="400" t="s">
        <v>1273</v>
      </c>
      <c r="L8" s="247" t="s">
        <v>1274</v>
      </c>
      <c r="M8" s="400"/>
    </row>
    <row r="9" spans="2:13">
      <c r="G9" s="400" t="s">
        <v>1275</v>
      </c>
      <c r="J9" s="400" t="s">
        <v>1276</v>
      </c>
      <c r="K9" s="400" t="s">
        <v>1277</v>
      </c>
      <c r="M9" s="400"/>
    </row>
    <row r="10" spans="2:13">
      <c r="J10" s="400" t="s">
        <v>1278</v>
      </c>
      <c r="K10" s="400" t="s">
        <v>1279</v>
      </c>
      <c r="M10" s="400"/>
    </row>
    <row r="11" spans="2:13">
      <c r="K11" s="400" t="s">
        <v>1280</v>
      </c>
      <c r="M11" s="400"/>
    </row>
    <row r="12" spans="2:13">
      <c r="B12" s="992" t="s">
        <v>1281</v>
      </c>
      <c r="C12" s="993"/>
      <c r="D12" s="993"/>
      <c r="E12" s="993"/>
      <c r="F12" s="993"/>
      <c r="G12" s="993"/>
      <c r="H12" s="994"/>
      <c r="K12" s="400" t="s">
        <v>1282</v>
      </c>
    </row>
    <row r="13" spans="2:13">
      <c r="B13" s="400" t="s">
        <v>1283</v>
      </c>
      <c r="C13" s="247" t="s">
        <v>1284</v>
      </c>
      <c r="D13" s="400" t="s">
        <v>1285</v>
      </c>
      <c r="E13" s="400" t="s">
        <v>1286</v>
      </c>
      <c r="F13" s="400" t="s">
        <v>1287</v>
      </c>
      <c r="G13" s="247" t="s">
        <v>1288</v>
      </c>
      <c r="H13" s="400" t="s">
        <v>1289</v>
      </c>
      <c r="K13" s="400" t="s">
        <v>1290</v>
      </c>
    </row>
    <row r="14" spans="2:13">
      <c r="B14" s="400" t="s">
        <v>1291</v>
      </c>
      <c r="C14" s="247" t="s">
        <v>1292</v>
      </c>
      <c r="D14" s="400" t="s">
        <v>1293</v>
      </c>
      <c r="E14" s="400" t="s">
        <v>1294</v>
      </c>
      <c r="F14" s="400" t="s">
        <v>1295</v>
      </c>
      <c r="G14" s="247" t="s">
        <v>1296</v>
      </c>
      <c r="H14" s="400" t="s">
        <v>1297</v>
      </c>
      <c r="K14" s="400" t="s">
        <v>1298</v>
      </c>
    </row>
    <row r="15" spans="2:13">
      <c r="B15" s="400" t="s">
        <v>1299</v>
      </c>
      <c r="D15" s="400" t="s">
        <v>1300</v>
      </c>
      <c r="H15" s="400" t="s">
        <v>1301</v>
      </c>
      <c r="K15" s="400" t="s">
        <v>1302</v>
      </c>
    </row>
    <row r="16" spans="2:13">
      <c r="B16" s="400" t="s">
        <v>1303</v>
      </c>
      <c r="D16" s="400" t="s">
        <v>1304</v>
      </c>
      <c r="H16" s="400" t="s">
        <v>1305</v>
      </c>
      <c r="K16" s="400" t="s">
        <v>1306</v>
      </c>
    </row>
    <row r="17" spans="2:11">
      <c r="H17" s="400" t="s">
        <v>1307</v>
      </c>
      <c r="K17" s="400" t="s">
        <v>1308</v>
      </c>
    </row>
    <row r="18" spans="2:11">
      <c r="B18" s="992" t="s">
        <v>1309</v>
      </c>
      <c r="C18" s="993"/>
      <c r="D18" s="993"/>
      <c r="E18" s="993"/>
      <c r="F18" s="993"/>
      <c r="G18" s="993"/>
      <c r="H18" s="994"/>
      <c r="K18" s="400" t="s">
        <v>1310</v>
      </c>
    </row>
    <row r="19" spans="2:11">
      <c r="B19" s="419" t="s">
        <v>1311</v>
      </c>
      <c r="C19" s="248" t="s">
        <v>1312</v>
      </c>
      <c r="D19" s="419" t="s">
        <v>1313</v>
      </c>
      <c r="E19" s="419" t="s">
        <v>1314</v>
      </c>
      <c r="F19" s="419" t="s">
        <v>1315</v>
      </c>
      <c r="G19" s="248" t="s">
        <v>1316</v>
      </c>
      <c r="H19" s="419" t="s">
        <v>1317</v>
      </c>
    </row>
    <row r="20" spans="2:11">
      <c r="B20" s="27" t="s">
        <v>1318</v>
      </c>
      <c r="C20" s="27" t="s">
        <v>1319</v>
      </c>
      <c r="D20" s="27" t="s">
        <v>1320</v>
      </c>
      <c r="E20" s="27" t="s">
        <v>1321</v>
      </c>
      <c r="F20" s="27" t="s">
        <v>1322</v>
      </c>
      <c r="G20" s="27" t="s">
        <v>1323</v>
      </c>
      <c r="H20" s="27" t="s">
        <v>1324</v>
      </c>
    </row>
    <row r="21" spans="2:11">
      <c r="B21" s="27" t="s">
        <v>1325</v>
      </c>
      <c r="C21" s="27" t="s">
        <v>1326</v>
      </c>
      <c r="D21" s="27" t="s">
        <v>1327</v>
      </c>
      <c r="E21" s="27" t="s">
        <v>1328</v>
      </c>
      <c r="G21" s="27" t="s">
        <v>1329</v>
      </c>
      <c r="H21" s="27" t="s">
        <v>1330</v>
      </c>
    </row>
    <row r="22" spans="2:11">
      <c r="B22" s="27" t="s">
        <v>1331</v>
      </c>
      <c r="C22" s="27" t="s">
        <v>1332</v>
      </c>
      <c r="D22" s="27" t="s">
        <v>1333</v>
      </c>
      <c r="E22" s="27" t="s">
        <v>1334</v>
      </c>
      <c r="G22" s="27" t="s">
        <v>1335</v>
      </c>
      <c r="H22" s="27" t="s">
        <v>1336</v>
      </c>
    </row>
    <row r="23" spans="2:11">
      <c r="B23" s="27" t="s">
        <v>1325</v>
      </c>
      <c r="C23" s="27" t="s">
        <v>1337</v>
      </c>
      <c r="D23" s="27" t="s">
        <v>1338</v>
      </c>
      <c r="E23" s="27" t="s">
        <v>1339</v>
      </c>
      <c r="G23" s="27" t="s">
        <v>1340</v>
      </c>
      <c r="H23" s="27" t="s">
        <v>1341</v>
      </c>
    </row>
    <row r="24" spans="2:11">
      <c r="B24" s="27" t="s">
        <v>1342</v>
      </c>
      <c r="C24" s="27" t="s">
        <v>1343</v>
      </c>
      <c r="D24" s="27" t="s">
        <v>1344</v>
      </c>
      <c r="E24" s="27" t="s">
        <v>1345</v>
      </c>
      <c r="G24" s="27" t="s">
        <v>1346</v>
      </c>
      <c r="H24" s="27" t="s">
        <v>1347</v>
      </c>
    </row>
    <row r="25" spans="2:11">
      <c r="B25" s="27" t="s">
        <v>1348</v>
      </c>
      <c r="D25" s="27" t="s">
        <v>1349</v>
      </c>
      <c r="E25" s="27" t="s">
        <v>1350</v>
      </c>
      <c r="G25" s="27" t="s">
        <v>1351</v>
      </c>
      <c r="H25" s="27" t="s">
        <v>1352</v>
      </c>
    </row>
    <row r="26" spans="2:11">
      <c r="B26" s="27" t="s">
        <v>1353</v>
      </c>
      <c r="D26" s="27" t="s">
        <v>1354</v>
      </c>
      <c r="E26" s="27" t="s">
        <v>1355</v>
      </c>
      <c r="H26" s="27" t="s">
        <v>1356</v>
      </c>
    </row>
    <row r="27" spans="2:11">
      <c r="B27" s="27" t="s">
        <v>1357</v>
      </c>
      <c r="D27" s="27" t="s">
        <v>1358</v>
      </c>
      <c r="E27" s="27" t="s">
        <v>1359</v>
      </c>
      <c r="H27" s="27" t="s">
        <v>1360</v>
      </c>
    </row>
    <row r="28" spans="2:11">
      <c r="B28" s="27" t="s">
        <v>1361</v>
      </c>
      <c r="D28" s="27" t="s">
        <v>1362</v>
      </c>
      <c r="E28" s="27" t="s">
        <v>1363</v>
      </c>
      <c r="H28" s="27" t="s">
        <v>1364</v>
      </c>
    </row>
    <row r="29" spans="2:11">
      <c r="B29" s="27" t="s">
        <v>1365</v>
      </c>
      <c r="D29" s="27" t="s">
        <v>1366</v>
      </c>
      <c r="E29" s="27" t="s">
        <v>1367</v>
      </c>
      <c r="H29" s="27" t="s">
        <v>1368</v>
      </c>
    </row>
    <row r="30" spans="2:11">
      <c r="B30" s="27" t="s">
        <v>1369</v>
      </c>
      <c r="D30" s="27" t="s">
        <v>1370</v>
      </c>
      <c r="E30" s="27" t="s">
        <v>1371</v>
      </c>
      <c r="H30" s="27" t="s">
        <v>1372</v>
      </c>
    </row>
    <row r="31" spans="2:11">
      <c r="B31" s="27" t="s">
        <v>1373</v>
      </c>
      <c r="D31" s="27" t="s">
        <v>1374</v>
      </c>
      <c r="E31" s="27" t="s">
        <v>1375</v>
      </c>
      <c r="H31" s="27" t="s">
        <v>1376</v>
      </c>
    </row>
    <row r="32" spans="2:11">
      <c r="B32" s="27" t="s">
        <v>1377</v>
      </c>
      <c r="D32" s="27" t="s">
        <v>1378</v>
      </c>
      <c r="E32" s="27" t="s">
        <v>1379</v>
      </c>
      <c r="H32" s="27" t="s">
        <v>1380</v>
      </c>
    </row>
    <row r="33" spans="2:15">
      <c r="D33" s="27" t="s">
        <v>1381</v>
      </c>
      <c r="H33" s="27" t="s">
        <v>1382</v>
      </c>
    </row>
    <row r="34" spans="2:15">
      <c r="H34" s="27" t="s">
        <v>1383</v>
      </c>
    </row>
    <row r="35" spans="2:15">
      <c r="H35" s="27" t="s">
        <v>1384</v>
      </c>
    </row>
    <row r="36" spans="2:15">
      <c r="H36" s="27" t="s">
        <v>1385</v>
      </c>
    </row>
    <row r="37" spans="2:15">
      <c r="H37" s="27" t="s">
        <v>1386</v>
      </c>
    </row>
    <row r="38" spans="2:15">
      <c r="H38" s="27" t="s">
        <v>1267</v>
      </c>
    </row>
    <row r="39" spans="2:15">
      <c r="H39" s="27" t="s">
        <v>1387</v>
      </c>
    </row>
    <row r="40" spans="2:15">
      <c r="H40" s="27" t="s">
        <v>1388</v>
      </c>
    </row>
    <row r="41" spans="2:15">
      <c r="H41" s="27" t="s">
        <v>1389</v>
      </c>
    </row>
    <row r="44" spans="2:15">
      <c r="B44" s="32" t="s">
        <v>1390</v>
      </c>
      <c r="C44" s="32" t="s">
        <v>1391</v>
      </c>
      <c r="D44" s="32" t="s">
        <v>1392</v>
      </c>
      <c r="E44" s="32" t="s">
        <v>1393</v>
      </c>
      <c r="F44" s="32" t="s">
        <v>1394</v>
      </c>
      <c r="G44" s="32" t="s">
        <v>1395</v>
      </c>
      <c r="H44" s="32" t="s">
        <v>1396</v>
      </c>
      <c r="I44" s="32" t="s">
        <v>1397</v>
      </c>
      <c r="J44" s="32" t="s">
        <v>1398</v>
      </c>
      <c r="K44" s="32" t="s">
        <v>1399</v>
      </c>
      <c r="L44" s="32" t="s">
        <v>1400</v>
      </c>
      <c r="M44" s="32" t="s">
        <v>1401</v>
      </c>
      <c r="N44" s="32" t="s">
        <v>1402</v>
      </c>
      <c r="O44" s="32" t="s">
        <v>1403</v>
      </c>
    </row>
    <row r="45" spans="2:15">
      <c r="B45" s="31" t="s">
        <v>1404</v>
      </c>
      <c r="C45" s="31" t="s">
        <v>1405</v>
      </c>
      <c r="D45" s="31" t="s">
        <v>1406</v>
      </c>
      <c r="E45" s="31" t="s">
        <v>1407</v>
      </c>
      <c r="F45" s="31" t="s">
        <v>1408</v>
      </c>
      <c r="G45" s="31" t="s">
        <v>1409</v>
      </c>
      <c r="H45" s="31" t="s">
        <v>1410</v>
      </c>
      <c r="I45" s="31" t="s">
        <v>1411</v>
      </c>
      <c r="J45" s="31" t="s">
        <v>1412</v>
      </c>
      <c r="K45" s="31" t="s">
        <v>1413</v>
      </c>
      <c r="L45" s="31" t="s">
        <v>1414</v>
      </c>
      <c r="M45" s="31" t="s">
        <v>1415</v>
      </c>
      <c r="N45" s="31" t="s">
        <v>1416</v>
      </c>
      <c r="O45" s="31" t="s">
        <v>1417</v>
      </c>
    </row>
    <row r="46" spans="2:15">
      <c r="B46" s="31" t="s">
        <v>1418</v>
      </c>
      <c r="C46" s="31" t="s">
        <v>1419</v>
      </c>
      <c r="D46" s="31" t="s">
        <v>1420</v>
      </c>
      <c r="E46" s="31" t="s">
        <v>1421</v>
      </c>
      <c r="F46" s="31" t="s">
        <v>1422</v>
      </c>
      <c r="G46" s="31" t="s">
        <v>1423</v>
      </c>
      <c r="H46" s="31" t="s">
        <v>1424</v>
      </c>
      <c r="I46" s="31" t="s">
        <v>1425</v>
      </c>
      <c r="J46" s="31" t="s">
        <v>1426</v>
      </c>
      <c r="K46" s="31" t="s">
        <v>1427</v>
      </c>
      <c r="L46" s="31" t="s">
        <v>1428</v>
      </c>
      <c r="M46" s="31" t="s">
        <v>1429</v>
      </c>
      <c r="N46" s="31" t="s">
        <v>1430</v>
      </c>
      <c r="O46" s="31" t="s">
        <v>1431</v>
      </c>
    </row>
    <row r="47" spans="2:15">
      <c r="C47" s="31" t="s">
        <v>1432</v>
      </c>
      <c r="D47" s="31" t="s">
        <v>1433</v>
      </c>
      <c r="E47" s="31" t="s">
        <v>1434</v>
      </c>
      <c r="F47" s="31" t="s">
        <v>1435</v>
      </c>
      <c r="H47" s="31" t="s">
        <v>1436</v>
      </c>
      <c r="I47" s="31" t="s">
        <v>1437</v>
      </c>
      <c r="J47" s="31" t="s">
        <v>1438</v>
      </c>
      <c r="K47" s="31" t="s">
        <v>1439</v>
      </c>
      <c r="L47" s="31" t="s">
        <v>1440</v>
      </c>
      <c r="M47" s="31" t="s">
        <v>1441</v>
      </c>
      <c r="N47" s="31" t="s">
        <v>1442</v>
      </c>
      <c r="O47" s="31" t="s">
        <v>1443</v>
      </c>
    </row>
    <row r="48" spans="2:15">
      <c r="B48" s="31"/>
      <c r="C48" s="31" t="s">
        <v>1444</v>
      </c>
      <c r="D48" s="31" t="s">
        <v>1445</v>
      </c>
      <c r="E48" s="31" t="s">
        <v>1446</v>
      </c>
      <c r="F48" s="31" t="s">
        <v>1447</v>
      </c>
      <c r="H48" s="31" t="s">
        <v>1448</v>
      </c>
      <c r="I48" s="31" t="s">
        <v>1449</v>
      </c>
      <c r="J48" s="31" t="s">
        <v>1450</v>
      </c>
      <c r="K48" s="31" t="s">
        <v>1451</v>
      </c>
      <c r="L48" s="31" t="s">
        <v>1452</v>
      </c>
      <c r="M48" s="31" t="s">
        <v>1453</v>
      </c>
      <c r="N48" s="31" t="s">
        <v>1454</v>
      </c>
      <c r="O48" s="31" t="s">
        <v>1455</v>
      </c>
    </row>
    <row r="49" spans="2:15">
      <c r="C49" s="31" t="s">
        <v>1456</v>
      </c>
      <c r="D49" s="31" t="s">
        <v>1457</v>
      </c>
      <c r="E49" s="31" t="s">
        <v>1458</v>
      </c>
      <c r="F49" s="31" t="s">
        <v>1459</v>
      </c>
      <c r="H49" s="31" t="s">
        <v>1460</v>
      </c>
      <c r="I49" s="31" t="s">
        <v>1461</v>
      </c>
      <c r="J49" s="31" t="s">
        <v>1462</v>
      </c>
      <c r="K49" s="31" t="s">
        <v>1463</v>
      </c>
      <c r="L49" s="31" t="s">
        <v>1464</v>
      </c>
      <c r="M49" s="31" t="s">
        <v>1465</v>
      </c>
      <c r="N49" s="31"/>
      <c r="O49" s="31" t="s">
        <v>1466</v>
      </c>
    </row>
    <row r="50" spans="2:15">
      <c r="C50" s="31" t="s">
        <v>1467</v>
      </c>
      <c r="D50" s="31" t="s">
        <v>1468</v>
      </c>
      <c r="E50" s="31" t="s">
        <v>1469</v>
      </c>
      <c r="F50" s="31" t="s">
        <v>1470</v>
      </c>
      <c r="H50" s="31" t="s">
        <v>1471</v>
      </c>
      <c r="I50" s="31" t="s">
        <v>1472</v>
      </c>
      <c r="J50" s="31" t="s">
        <v>1473</v>
      </c>
      <c r="K50" s="31" t="s">
        <v>1474</v>
      </c>
      <c r="M50" s="31" t="s">
        <v>1475</v>
      </c>
      <c r="O50" s="31" t="s">
        <v>1476</v>
      </c>
    </row>
    <row r="51" spans="2:15">
      <c r="C51" s="31" t="s">
        <v>1477</v>
      </c>
      <c r="E51" s="31" t="s">
        <v>1478</v>
      </c>
      <c r="F51" s="31" t="s">
        <v>1479</v>
      </c>
      <c r="H51" s="31" t="s">
        <v>1480</v>
      </c>
      <c r="I51" s="31" t="s">
        <v>1481</v>
      </c>
      <c r="J51" s="31" t="s">
        <v>1482</v>
      </c>
      <c r="K51" s="31" t="s">
        <v>1483</v>
      </c>
      <c r="M51" s="31" t="s">
        <v>1484</v>
      </c>
      <c r="O51" s="31" t="s">
        <v>1485</v>
      </c>
    </row>
    <row r="52" spans="2:15">
      <c r="D52" s="31"/>
      <c r="E52" s="31" t="s">
        <v>1486</v>
      </c>
      <c r="F52" s="31" t="s">
        <v>1487</v>
      </c>
      <c r="H52" s="31" t="s">
        <v>1488</v>
      </c>
      <c r="I52" s="31" t="s">
        <v>1489</v>
      </c>
      <c r="K52" s="31" t="s">
        <v>1490</v>
      </c>
      <c r="O52" s="31" t="s">
        <v>1491</v>
      </c>
    </row>
    <row r="53" spans="2:15">
      <c r="E53" s="31" t="s">
        <v>1492</v>
      </c>
      <c r="F53" s="31" t="s">
        <v>1493</v>
      </c>
      <c r="H53" s="31" t="s">
        <v>1494</v>
      </c>
      <c r="I53" s="31" t="s">
        <v>1495</v>
      </c>
      <c r="K53" s="31" t="s">
        <v>1496</v>
      </c>
    </row>
    <row r="54" spans="2:15">
      <c r="E54" s="31"/>
      <c r="F54" s="31" t="s">
        <v>1497</v>
      </c>
      <c r="H54" s="31" t="s">
        <v>1498</v>
      </c>
      <c r="I54" s="31" t="s">
        <v>1499</v>
      </c>
      <c r="K54" s="31" t="s">
        <v>1500</v>
      </c>
    </row>
    <row r="55" spans="2:15">
      <c r="F55" s="31" t="s">
        <v>1501</v>
      </c>
      <c r="H55" s="31" t="s">
        <v>1502</v>
      </c>
      <c r="I55" s="31" t="s">
        <v>1503</v>
      </c>
      <c r="K55" s="31" t="s">
        <v>1504</v>
      </c>
    </row>
    <row r="56" spans="2:15">
      <c r="F56" s="31" t="s">
        <v>1505</v>
      </c>
      <c r="H56" s="31" t="s">
        <v>1506</v>
      </c>
      <c r="I56" s="31" t="s">
        <v>1507</v>
      </c>
      <c r="K56" s="31" t="s">
        <v>1508</v>
      </c>
    </row>
    <row r="57" spans="2:15">
      <c r="F57" s="31" t="s">
        <v>1509</v>
      </c>
      <c r="H57" s="31" t="s">
        <v>1510</v>
      </c>
      <c r="I57" s="31" t="s">
        <v>1511</v>
      </c>
      <c r="K57" s="31" t="s">
        <v>1512</v>
      </c>
    </row>
    <row r="58" spans="2:15">
      <c r="F58" s="31" t="s">
        <v>1513</v>
      </c>
      <c r="H58" s="31" t="s">
        <v>1514</v>
      </c>
      <c r="I58" s="31" t="s">
        <v>1515</v>
      </c>
    </row>
    <row r="59" spans="2:15">
      <c r="B59" s="31"/>
      <c r="H59" s="31" t="s">
        <v>1516</v>
      </c>
      <c r="I59" s="31"/>
      <c r="K59" s="31"/>
    </row>
    <row r="60" spans="2:15">
      <c r="C60" s="33" t="s">
        <v>1517</v>
      </c>
      <c r="E60" s="33" t="s">
        <v>1518</v>
      </c>
      <c r="G60" t="s">
        <v>1519</v>
      </c>
      <c r="I60" s="33" t="s">
        <v>1520</v>
      </c>
    </row>
    <row r="61" spans="2:15">
      <c r="C61" t="s">
        <v>1521</v>
      </c>
      <c r="D61" s="34">
        <v>100</v>
      </c>
      <c r="E61" s="33" t="s">
        <v>1522</v>
      </c>
      <c r="F61">
        <v>100</v>
      </c>
      <c r="G61" t="s">
        <v>1523</v>
      </c>
      <c r="H61">
        <v>100</v>
      </c>
      <c r="I61" s="33" t="s">
        <v>1524</v>
      </c>
      <c r="J61" s="35">
        <v>100</v>
      </c>
      <c r="K61" s="31"/>
    </row>
    <row r="62" spans="2:15">
      <c r="C62" s="33" t="s">
        <v>1525</v>
      </c>
      <c r="D62" s="34">
        <v>60</v>
      </c>
      <c r="E62" s="33" t="s">
        <v>1526</v>
      </c>
      <c r="F62">
        <v>60</v>
      </c>
      <c r="G62" s="33" t="s">
        <v>1527</v>
      </c>
      <c r="H62">
        <v>60</v>
      </c>
      <c r="I62" s="31" t="s">
        <v>1528</v>
      </c>
      <c r="J62" s="35">
        <v>60</v>
      </c>
    </row>
    <row r="63" spans="2:15">
      <c r="C63" t="s">
        <v>1529</v>
      </c>
      <c r="D63" s="34">
        <v>20</v>
      </c>
      <c r="E63" s="33" t="s">
        <v>1530</v>
      </c>
      <c r="F63" s="31">
        <v>40</v>
      </c>
      <c r="G63" s="33" t="s">
        <v>1531</v>
      </c>
      <c r="H63" s="31">
        <v>40</v>
      </c>
      <c r="I63" s="31" t="s">
        <v>1532</v>
      </c>
      <c r="J63" s="35">
        <v>20</v>
      </c>
    </row>
    <row r="64" spans="2:15">
      <c r="E64" s="33" t="s">
        <v>1533</v>
      </c>
      <c r="F64">
        <v>0</v>
      </c>
      <c r="G64" t="s">
        <v>1534</v>
      </c>
      <c r="H64">
        <v>0</v>
      </c>
      <c r="I64" s="31" t="s">
        <v>1535</v>
      </c>
      <c r="J64" s="35">
        <v>0</v>
      </c>
    </row>
    <row r="65" spans="2:11">
      <c r="I65" s="31" t="s">
        <v>1536</v>
      </c>
      <c r="J65" t="s">
        <v>1537</v>
      </c>
    </row>
    <row r="68" spans="2:11">
      <c r="F68" s="31"/>
    </row>
    <row r="70" spans="2:11">
      <c r="B70" s="31"/>
      <c r="K70" s="32"/>
    </row>
    <row r="71" spans="2:11">
      <c r="B71" s="31"/>
    </row>
    <row r="86" spans="2:11">
      <c r="B86" s="32"/>
    </row>
    <row r="87" spans="2:11">
      <c r="F87" s="31" t="s">
        <v>791</v>
      </c>
      <c r="K87" s="32"/>
    </row>
    <row r="110" spans="6:6">
      <c r="F110" s="31"/>
    </row>
    <row r="121" spans="6:6">
      <c r="F121" s="31"/>
    </row>
  </sheetData>
  <sheetProtection algorithmName="SHA-512" hashValue="ir0+NBvpf7lUGCyLq83BfIlGTJJDDh7Zqx/6H1WQLKHvds4O7oC70fmP58jV8I3NJf/sDem/sbCBokcKmezj7w==" saltValue="SVpnOM6QaQMttH5ezqZ/Tw==" spinCount="100000" sheet="1" objects="1" scenarios="1"/>
  <sortState ref="C20:D93">
    <sortCondition ref="D20:D93"/>
  </sortState>
  <mergeCells count="3">
    <mergeCell ref="G1:M1"/>
    <mergeCell ref="B12:H12"/>
    <mergeCell ref="B18:H1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Anti_corrupcion" ma:contentTypeID="0x01010065DBA66042D2F54CA6004B821B3BE609030048AC1BDCAA982A4F931871916B101222" ma:contentTypeVersion="30" ma:contentTypeDescription="" ma:contentTypeScope="" ma:versionID="4c689cd1695fd2efd9d757c666e85b4d">
  <xsd:schema xmlns:xsd="http://www.w3.org/2001/XMLSchema" xmlns:xs="http://www.w3.org/2001/XMLSchema" xmlns:p="http://schemas.microsoft.com/office/2006/metadata/properties" xmlns:ns1="81cc8fc0-8d1e-4295-8f37-5d076116407c" targetNamespace="http://schemas.microsoft.com/office/2006/metadata/properties" ma:root="true" ma:fieldsID="00a45a224652d91e9d79c5a51571cc99" ns1:_="">
    <xsd:import namespace="81cc8fc0-8d1e-4295-8f37-5d076116407c"/>
    <xsd:element name="properties">
      <xsd:complexType>
        <xsd:sequence>
          <xsd:element name="documentManagement">
            <xsd:complexType>
              <xsd:all>
                <xsd:element ref="ns1:MJFechaExpedicion" minOccurs="0"/>
                <xsd:element ref="ns1:MJCategoria" minOccurs="0"/>
                <xsd:element ref="ns1:_dlc_DocId" minOccurs="0"/>
                <xsd:element ref="ns1:_dlc_DocIdUrl" minOccurs="0"/>
                <xsd:element ref="ns1: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cc8fc0-8d1e-4295-8f37-5d076116407c" elementFormDefault="qualified">
    <xsd:import namespace="http://schemas.microsoft.com/office/2006/documentManagement/types"/>
    <xsd:import namespace="http://schemas.microsoft.com/office/infopath/2007/PartnerControls"/>
    <xsd:element name="MJFechaExpedicion" ma:index="0" nillable="true" ma:displayName="Fecha Expedición" ma:default="[today]" ma:format="DateTime" ma:internalName="MJFechaExpedicion">
      <xsd:simpleType>
        <xsd:restriction base="dms:DateTime"/>
      </xsd:simpleType>
    </xsd:element>
    <xsd:element name="MJCategoria" ma:index="10" nillable="true" ma:displayName="Categoria" ma:internalName="MJCategoria">
      <xsd:simpleType>
        <xsd:restriction base="dms:Text">
          <xsd:maxLength value="255"/>
        </xsd:restriction>
      </xsd:simpleType>
    </xsd:element>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JCategoria xmlns="81cc8fc0-8d1e-4295-8f37-5d076116407c" xsi:nil="true"/>
    <MJFechaExpedicion xmlns="81cc8fc0-8d1e-4295-8f37-5d076116407c">2025-09-25T15:58:00+00:00</MJFechaExpedicion>
    <_dlc_DocId xmlns="81cc8fc0-8d1e-4295-8f37-5d076116407c">2TV4CCKVFCYA-90719747-154</_dlc_DocId>
    <_dlc_DocIdUrl xmlns="81cc8fc0-8d1e-4295-8f37-5d076116407c">
      <Url>https://www.minjusticia.gov.co/servicio-ciudadano/_layouts/15/DocIdRedir.aspx?ID=2TV4CCKVFCYA-90719747-154</Url>
      <Description>2TV4CCKVFCYA-90719747-154</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2C7AA7B-72EA-4547-A194-28D2952D9345}"/>
</file>

<file path=customXml/itemProps2.xml><?xml version="1.0" encoding="utf-8"?>
<ds:datastoreItem xmlns:ds="http://schemas.openxmlformats.org/officeDocument/2006/customXml" ds:itemID="{482869FB-31B7-4FEC-9920-1ECC3D0AAB65}">
  <ds:schemaRefs>
    <ds:schemaRef ds:uri="http://schemas.microsoft.com/sharepoint/v3/contenttype/forms"/>
  </ds:schemaRefs>
</ds:datastoreItem>
</file>

<file path=customXml/itemProps3.xml><?xml version="1.0" encoding="utf-8"?>
<ds:datastoreItem xmlns:ds="http://schemas.openxmlformats.org/officeDocument/2006/customXml" ds:itemID="{181A7456-32F0-4857-AC4B-929E42F9FF2A}">
  <ds:schemaRefs>
    <ds:schemaRef ds:uri="http://purl.org/dc/terms/"/>
    <ds:schemaRef ds:uri="http://purl.org/dc/elements/1.1/"/>
    <ds:schemaRef ds:uri="http://www.w3.org/XML/1998/namespace"/>
    <ds:schemaRef ds:uri="3d04f598-d8fd-4db1-b254-cc5605670241"/>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98c71486-3409-4817-a91c-6c252592bd15"/>
    <ds:schemaRef ds:uri="http://schemas.microsoft.com/office/2006/metadata/properties"/>
  </ds:schemaRefs>
</ds:datastoreItem>
</file>

<file path=customXml/itemProps4.xml><?xml version="1.0" encoding="utf-8"?>
<ds:datastoreItem xmlns:ds="http://schemas.openxmlformats.org/officeDocument/2006/customXml" ds:itemID="{A6B586B1-E92F-477E-8339-4ADDC2613A8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44</vt:i4>
      </vt:variant>
    </vt:vector>
  </HeadingPairs>
  <TitlesOfParts>
    <vt:vector size="57" baseType="lpstr">
      <vt:lpstr>Matriz Riesgos Gestión 2025</vt:lpstr>
      <vt:lpstr>Hoja2</vt:lpstr>
      <vt:lpstr>Matriz riesgos de Corrupción</vt:lpstr>
      <vt:lpstr>Hoja1</vt:lpstr>
      <vt:lpstr>Listados</vt:lpstr>
      <vt:lpstr>Matriz Riesgos Seg. Información</vt:lpstr>
      <vt:lpstr>CONTROLES</vt:lpstr>
      <vt:lpstr>Elementos Riesgo Corrupción</vt:lpstr>
      <vt:lpstr>Seguridad Información</vt:lpstr>
      <vt:lpstr>Probabilidad Seguridad Informac</vt:lpstr>
      <vt:lpstr>Corrupción</vt:lpstr>
      <vt:lpstr>Mapa de calor</vt:lpstr>
      <vt:lpstr>Matriz de calificación (2)</vt:lpstr>
      <vt:lpstr>_10._CIFRADO.</vt:lpstr>
      <vt:lpstr>_11._SEGURIDAD_FÍSICA_Y_AMBIENTAL.</vt:lpstr>
      <vt:lpstr>_12._SEGURIDAD_EN_LA_OPERATIVA.</vt:lpstr>
      <vt:lpstr>_13._SEGURIDAD_EN_LAS_TELECOMUNICACIONES.</vt:lpstr>
      <vt:lpstr>_14._ADQUISICIÓN__DESARROLLO_Y_MANTENIMIENTO_DE_LOS_SISTEMAS_DE_INFORMACIÓN.</vt:lpstr>
      <vt:lpstr>_15._RELACIONES_CON_SUMINISTRADORES.</vt:lpstr>
      <vt:lpstr>_16._GESTIÓN_DE_INCIDENTES_EN_LA_SEGURIDAD_DE_LA_INFORMACIÓN.</vt:lpstr>
      <vt:lpstr>_17._ASPECTOS_DE_SEGURIDAD_DE_LA_INFORMACION_EN_LA_GESTIÓN_DE_LA_CONTINUIDAD_DEL_NEGOCIO.</vt:lpstr>
      <vt:lpstr>_18._CUMPLIMIENTO.</vt:lpstr>
      <vt:lpstr>_5._POLÍTICAS_DE_SEGURIDAD.</vt:lpstr>
      <vt:lpstr>_6._ASPECTOS_ORGANIZATIVOS_DE_LA_SEGURIDAD_DE_LA_INFORMAC.</vt:lpstr>
      <vt:lpstr>_7._SEGURIDAD_LIGADA_A_LOS_RECURSOS_HUMANOS.</vt:lpstr>
      <vt:lpstr>_8._GESTIÓN_DE_ACTIVOS.</vt:lpstr>
      <vt:lpstr>_9._CONTROL_DE_ACCESOS.</vt:lpstr>
      <vt:lpstr>'Matriz riesgos de Corrupción'!Área_de_impresión</vt:lpstr>
      <vt:lpstr>'Matriz Riesgos Gestión 2025'!Área_de_impresión</vt:lpstr>
      <vt:lpstr>'Matriz Riesgos Seg. Información'!Área_de_impresión</vt:lpstr>
      <vt:lpstr>CD</vt:lpstr>
      <vt:lpstr>CI</vt:lpstr>
      <vt:lpstr>CID</vt:lpstr>
      <vt:lpstr>Confidencialidad</vt:lpstr>
      <vt:lpstr>CONFIDENCIALIDAD.</vt:lpstr>
      <vt:lpstr>CONFIDENCIALIDAD_</vt:lpstr>
      <vt:lpstr>Confidencialidad_Disponibilidad</vt:lpstr>
      <vt:lpstr>CONFIDENCIALIDAD_DISPONIBILIDAD.</vt:lpstr>
      <vt:lpstr>CONFIDENCIALIDAD_DISPONIBILIDAD_</vt:lpstr>
      <vt:lpstr>Confidencialidad_integridad</vt:lpstr>
      <vt:lpstr>CONFIDENCIALIDAD_INTEGRIDAD.</vt:lpstr>
      <vt:lpstr>CONFIDENCIALIDAD_INTEGRIDAD_</vt:lpstr>
      <vt:lpstr>Confidencialidad_Integridad_Disponibilidad</vt:lpstr>
      <vt:lpstr>CONFIDENCIALIDAD_INTEGRIDAD_DISPONIBILIDAD.</vt:lpstr>
      <vt:lpstr>CONFIDENCIALIDAD_INTEGRIDAD_DISPONIBILIDAD_</vt:lpstr>
      <vt:lpstr>Disponibilidad</vt:lpstr>
      <vt:lpstr>DISPONIBILIDAD.</vt:lpstr>
      <vt:lpstr>DISPONIBILIDAD_</vt:lpstr>
      <vt:lpstr>Integridad</vt:lpstr>
      <vt:lpstr>INTEGRIDAD.</vt:lpstr>
      <vt:lpstr>INTEGRIDAD_</vt:lpstr>
      <vt:lpstr>Integridad_Disponibilidad</vt:lpstr>
      <vt:lpstr>INTEGRIDAD_DISPONIBILIDAD.</vt:lpstr>
      <vt:lpstr>INTEGRIDAD_DISPONIBILIDAD_</vt:lpstr>
      <vt:lpstr>'Matriz riesgos de Corrupción'!Títulos_a_imprimir</vt:lpstr>
      <vt:lpstr>'Matriz Riesgos Gestión 2025'!Títulos_a_imprimir</vt:lpstr>
      <vt:lpstr>'Matriz Riesgos Seg. Información'!Títulos_a_imprimir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Seguimiento-mapa-de-riesgos-de-gestion-2do-cuatrimestre-2025-Revisado-jefatura</dc:title>
  <dc:subject/>
  <dc:creator>jose leonardo carrillo cortes</dc:creator>
  <cp:keywords/>
  <dc:description/>
  <cp:lastModifiedBy>USUARIO</cp:lastModifiedBy>
  <cp:revision/>
  <dcterms:created xsi:type="dcterms:W3CDTF">2014-12-15T18:53:48Z</dcterms:created>
  <dcterms:modified xsi:type="dcterms:W3CDTF">2025-09-23T13:35:30Z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0x01010065DBA66042D2F54CA6004B821B3BE609030048AC1BDCAA982A4F931871916B101222</vt:lpwstr>
  </property>
  <property fmtid="{D5CDD505-2E9C-101B-9397-08002B2CF9AE}" pid="3" name="_dlc_DocIdItemGuid">
    <vt:lpwstr>be893fa9-016e-430f-b1d0-ff46e7695ec0</vt:lpwstr>
  </property>
  <property fmtid="{D5CDD505-2E9C-101B-9397-08002B2CF9AE}" pid="4" name="MediaServiceImageTags">
    <vt:lpwstr/>
  </property>
</Properties>
</file>