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24226"/>
  <mc:AlternateContent xmlns:mc="http://schemas.openxmlformats.org/markup-compatibility/2006">
    <mc:Choice Requires="x15">
      <x15ac:absPath xmlns:x15ac="http://schemas.microsoft.com/office/spreadsheetml/2010/11/ac" url="C:\Users\PC\Desktop\Unificación matriz de activos y riesgo\Matriz de riesgo\"/>
    </mc:Choice>
  </mc:AlternateContent>
  <xr:revisionPtr revIDLastSave="0" documentId="8_{7AF4221D-A20C-4A0B-9634-21F7263BA919}" xr6:coauthVersionLast="47" xr6:coauthVersionMax="47" xr10:uidLastSave="{00000000-0000-0000-0000-000000000000}"/>
  <bookViews>
    <workbookView xWindow="0" yWindow="0" windowWidth="20490" windowHeight="8940" tabRatio="473" firstSheet="6" activeTab="6" xr2:uid="{00000000-000D-0000-FFFF-FFFF00000000}"/>
  </bookViews>
  <sheets>
    <sheet name="Listados" sheetId="7" state="hidden" r:id="rId1"/>
    <sheet name="Hoja1" sheetId="16" state="hidden" r:id="rId2"/>
    <sheet name="CONTROLES" sheetId="11" state="hidden" r:id="rId3"/>
    <sheet name="Seguridad Información" sheetId="13" state="hidden" r:id="rId4"/>
    <sheet name="Probabilidad Seguridad Informac" sheetId="14" state="hidden" r:id="rId5"/>
    <sheet name="Corrupción" sheetId="5" state="hidden" r:id="rId6"/>
    <sheet name="Matriz Riesgos Seg. Información" sheetId="12" r:id="rId7"/>
    <sheet name="Mapa de calor" sheetId="4" r:id="rId8"/>
    <sheet name="Matriz de calificación (2)" sheetId="15"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6" hidden="1">'Matriz Riesgos Seg. Información'!$B$6:$BI$6</definedName>
    <definedName name="_xlnm.Print_Area" localSheetId="6">'Matriz Riesgos Seg. Información'!$A$1:$BI$8</definedName>
    <definedName name="CD">'Seguridad Información'!$H$3</definedName>
    <definedName name="CI">'Seguridad Información'!$I$3:$I$5</definedName>
    <definedName name="CID">'Seguridad Información'!$J$3:$J$10</definedName>
    <definedName name="Confidencialidad">'Seguridad Información'!$G$3:$G$6</definedName>
    <definedName name="CONFIDENCIALIDAD_">'Seguridad Información'!$B$20:$B$22</definedName>
    <definedName name="Disponibilidad">'Seguridad Información'!$I$3:$I$5</definedName>
    <definedName name="DISPONIBILIDAD_">'Seguridad Información'!$D$20:$D$22</definedName>
    <definedName name="Impacto">[1]Hoja4!$F$3:$F$7</definedName>
    <definedName name="Integridad">'Seguridad Información'!$H$3:$H$5</definedName>
    <definedName name="INTEGRIDAD_">'Seguridad Información'!$C$20:$C$21</definedName>
    <definedName name="TIPO">'[2]Base de Datos'!$A$4:$A$8</definedName>
    <definedName name="_xlnm.Print_Titles" localSheetId="6">'Matriz Riesgos Seg. Información'!$1:$6</definedName>
    <definedName name="Z_795C8354_6623_430F_B16F_866AD45BC174_.wvu.FilterData" localSheetId="6" hidden="1">'Matriz Riesgos Seg. Información'!$B$6:$BI$6</definedName>
    <definedName name="Z_795C8354_6623_430F_B16F_866AD45BC174_.wvu.PrintArea" localSheetId="6" hidden="1">'Matriz Riesgos Seg. Información'!$A$1:$BI$8</definedName>
    <definedName name="Z_795C8354_6623_430F_B16F_866AD45BC174_.wvu.PrintTitles" localSheetId="6" hidden="1">'Matriz Riesgos Seg. Información'!$1:$6</definedName>
    <definedName name="Z_82BC0C9B_70E2_44EC_8408_64CC9B36E280_.wvu.FilterData" localSheetId="6" hidden="1">'Matriz Riesgos Seg. Información'!$B$6:$BI$6</definedName>
    <definedName name="Z_82BC0C9B_70E2_44EC_8408_64CC9B36E280_.wvu.PrintArea" localSheetId="6" hidden="1">'Matriz Riesgos Seg. Información'!$A$1:$BI$8</definedName>
    <definedName name="Z_82BC0C9B_70E2_44EC_8408_64CC9B36E280_.wvu.PrintTitles" localSheetId="6" hidden="1">'Matriz Riesgos Seg. Información'!$1:$6</definedName>
    <definedName name="Z_F8FDF2EC_A9AD_41AC_8138_AA3657B53E6D_.wvu.FilterData" localSheetId="6" hidden="1">'Matriz Riesgos Seg. Información'!$B$6:$BI$6</definedName>
    <definedName name="Z_F8FDF2EC_A9AD_41AC_8138_AA3657B53E6D_.wvu.PrintArea" localSheetId="6" hidden="1">'Matriz Riesgos Seg. Información'!$A$1:$BI$8</definedName>
    <definedName name="Z_F8FDF2EC_A9AD_41AC_8138_AA3657B53E6D_.wvu.PrintTitles" localSheetId="6" hidden="1">'Matriz Riesgos Seg. Información'!$1:$6</definedName>
  </definedNames>
  <calcPr calcId="191028"/>
  <customWorkbookViews>
    <customWorkbookView name="DIEGO ORLANDO BUSTOS FORERO - Vista personalizada" guid="{F8FDF2EC-A9AD-41AC-8138-AA3657B53E6D}" mergeInterval="0" personalView="1" maximized="1" xWindow="-8" yWindow="-8" windowWidth="1936" windowHeight="1056" tabRatio="859" activeSheetId="1" showComments="commIndAndComment"/>
    <customWorkbookView name="MAURICIO ORDOÑEZ GUTIERREZ - Vista personalizada" guid="{795C8354-6623-430F-B16F-866AD45BC174}" mergeInterval="0" personalView="1" maximized="1" xWindow="-8" yWindow="-8" windowWidth="1616" windowHeight="876" tabRatio="859" activeSheetId="1"/>
    <customWorkbookView name="LUCY MARGARITA OSORIO MASTRODOMÉNICO - Vista personalizada" guid="{82BC0C9B-70E2-44EC-8408-64CC9B36E280}" mergeInterval="0" personalView="1" maximized="1" xWindow="-8" yWindow="-8" windowWidth="1616" windowHeight="876" tabRatio="8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5" i="12" l="1"/>
  <c r="AS95" i="12"/>
  <c r="AQ95" i="12"/>
  <c r="AO95" i="12"/>
  <c r="AW95" i="12" s="1"/>
  <c r="AX95" i="12" s="1"/>
  <c r="AK95" i="12"/>
  <c r="AI95" i="12"/>
  <c r="AG95" i="12"/>
  <c r="AE95" i="12"/>
  <c r="AC95" i="12"/>
  <c r="AA95" i="12"/>
  <c r="Y95" i="12"/>
  <c r="AU94" i="12"/>
  <c r="AS94" i="12"/>
  <c r="AQ94" i="12"/>
  <c r="AO94" i="12"/>
  <c r="AW94" i="12" s="1"/>
  <c r="AX94" i="12" s="1"/>
  <c r="AK94" i="12"/>
  <c r="AI94" i="12"/>
  <c r="AG94" i="12"/>
  <c r="AE94" i="12"/>
  <c r="AC94" i="12"/>
  <c r="AA94" i="12"/>
  <c r="Y94" i="12"/>
  <c r="Q94" i="12"/>
  <c r="R94" i="12" s="1"/>
  <c r="P94" i="12"/>
  <c r="N94" i="12"/>
  <c r="C94" i="12"/>
  <c r="BC93" i="12"/>
  <c r="AU93" i="12"/>
  <c r="AS93" i="12"/>
  <c r="AQ93" i="12"/>
  <c r="AO93" i="12"/>
  <c r="AW93" i="12" s="1"/>
  <c r="AX93" i="12" s="1"/>
  <c r="AK93" i="12"/>
  <c r="AI93" i="12"/>
  <c r="AG93" i="12"/>
  <c r="AE93" i="12"/>
  <c r="AC93" i="12"/>
  <c r="AA93" i="12"/>
  <c r="Y93" i="12"/>
  <c r="AL93" i="12" s="1"/>
  <c r="AM93" i="12" s="1"/>
  <c r="Q93" i="12"/>
  <c r="R93" i="12" s="1"/>
  <c r="P93" i="12"/>
  <c r="N93" i="12"/>
  <c r="BE93" i="12" s="1"/>
  <c r="BG93" i="12" s="1"/>
  <c r="C93" i="12"/>
  <c r="AU92" i="12"/>
  <c r="AS92" i="12"/>
  <c r="AQ92" i="12"/>
  <c r="AO92" i="12"/>
  <c r="AW92" i="12" s="1"/>
  <c r="AX92" i="12" s="1"/>
  <c r="AK92" i="12"/>
  <c r="AI92" i="12"/>
  <c r="AG92" i="12"/>
  <c r="AE92" i="12"/>
  <c r="AC92" i="12"/>
  <c r="AA92" i="12"/>
  <c r="Y92" i="12"/>
  <c r="AU91" i="12"/>
  <c r="AS91" i="12"/>
  <c r="AQ91" i="12"/>
  <c r="AO91" i="12"/>
  <c r="AW91" i="12" s="1"/>
  <c r="AX91" i="12" s="1"/>
  <c r="AK91" i="12"/>
  <c r="AI91" i="12"/>
  <c r="AG91" i="12"/>
  <c r="AE91" i="12"/>
  <c r="AC91" i="12"/>
  <c r="AA91" i="12"/>
  <c r="Y91" i="12"/>
  <c r="AL91" i="12" s="1"/>
  <c r="AM91" i="12" s="1"/>
  <c r="Q91" i="12"/>
  <c r="R91" i="12" s="1"/>
  <c r="P91" i="12"/>
  <c r="N91" i="12"/>
  <c r="C91" i="12"/>
  <c r="AL92" i="12" l="1"/>
  <c r="AM92" i="12" s="1"/>
  <c r="AY92" i="12" s="1"/>
  <c r="AZ92" i="12" s="1"/>
  <c r="AL94" i="12"/>
  <c r="AM94" i="12" s="1"/>
  <c r="AY94" i="12" s="1"/>
  <c r="AZ94" i="12" s="1"/>
  <c r="AL95" i="12"/>
  <c r="AM95" i="12" s="1"/>
  <c r="AY95" i="12" s="1"/>
  <c r="AZ95" i="12" s="1"/>
  <c r="AY91" i="12"/>
  <c r="AZ91" i="12" s="1"/>
  <c r="BA91" i="12" s="1"/>
  <c r="BB91" i="12" s="1"/>
  <c r="BL94" i="12"/>
  <c r="BK94" i="12"/>
  <c r="BJ94" i="12"/>
  <c r="BM94" i="12"/>
  <c r="BK91" i="12"/>
  <c r="BL91" i="12"/>
  <c r="BJ91" i="12"/>
  <c r="BM91" i="12"/>
  <c r="AY93" i="12"/>
  <c r="AZ93" i="12" s="1"/>
  <c r="BA93" i="12" s="1"/>
  <c r="BB93" i="12" s="1"/>
  <c r="BD93" i="12" s="1"/>
  <c r="BF93" i="12" s="1"/>
  <c r="BH93" i="12" s="1"/>
  <c r="BI93" i="12" s="1"/>
  <c r="BA94" i="12" l="1"/>
  <c r="BB94" i="12" s="1"/>
  <c r="BC92" i="12"/>
  <c r="BE92" i="12" s="1"/>
  <c r="BC91" i="12"/>
  <c r="BE91" i="12" s="1"/>
  <c r="BD91" i="12"/>
  <c r="BF91" i="12" s="1"/>
  <c r="BD92" i="12"/>
  <c r="BF92" i="12" s="1"/>
  <c r="BD95" i="12" l="1"/>
  <c r="BF95" i="12" s="1"/>
  <c r="BD94" i="12"/>
  <c r="BF94" i="12" s="1"/>
  <c r="BH94" i="12" s="1"/>
  <c r="BC95" i="12"/>
  <c r="BE95" i="12" s="1"/>
  <c r="BC94" i="12"/>
  <c r="BE94" i="12" s="1"/>
  <c r="BG94" i="12" s="1"/>
  <c r="BI94" i="12" s="1"/>
  <c r="BG91" i="12"/>
  <c r="BH91" i="12"/>
  <c r="BI91" i="12" l="1"/>
  <c r="AU90" i="12" l="1"/>
  <c r="AS90" i="12"/>
  <c r="AQ90" i="12"/>
  <c r="AO90" i="12"/>
  <c r="AV90" i="12" s="1"/>
  <c r="AK90" i="12"/>
  <c r="AI90" i="12"/>
  <c r="AG90" i="12"/>
  <c r="AE90" i="12"/>
  <c r="AC90" i="12"/>
  <c r="AA90" i="12"/>
  <c r="Y90" i="12"/>
  <c r="AL90" i="12" s="1"/>
  <c r="AM90" i="12" s="1"/>
  <c r="AU89" i="12"/>
  <c r="AS89" i="12"/>
  <c r="AQ89" i="12"/>
  <c r="AO89" i="12"/>
  <c r="AV89" i="12" s="1"/>
  <c r="AK89" i="12"/>
  <c r="AI89" i="12"/>
  <c r="AG89" i="12"/>
  <c r="AE89" i="12"/>
  <c r="AC89" i="12"/>
  <c r="AA89" i="12"/>
  <c r="Y89" i="12"/>
  <c r="AL89" i="12" s="1"/>
  <c r="AM89" i="12" s="1"/>
  <c r="Q89" i="12"/>
  <c r="R89" i="12" s="1"/>
  <c r="P89" i="12"/>
  <c r="N89" i="12"/>
  <c r="C89" i="12"/>
  <c r="AU88" i="12"/>
  <c r="AS88" i="12"/>
  <c r="AQ88" i="12"/>
  <c r="AO88" i="12"/>
  <c r="AW88" i="12" s="1"/>
  <c r="AX88" i="12" s="1"/>
  <c r="AK88" i="12"/>
  <c r="AI88" i="12"/>
  <c r="AG88" i="12"/>
  <c r="AE88" i="12"/>
  <c r="AC88" i="12"/>
  <c r="AA88" i="12"/>
  <c r="Y88" i="12"/>
  <c r="AU87" i="12"/>
  <c r="AS87" i="12"/>
  <c r="AQ87" i="12"/>
  <c r="AO87" i="12"/>
  <c r="AV87" i="12" s="1"/>
  <c r="AK87" i="12"/>
  <c r="AI87" i="12"/>
  <c r="AG87" i="12"/>
  <c r="AE87" i="12"/>
  <c r="AC87" i="12"/>
  <c r="AA87" i="12"/>
  <c r="Y87" i="12"/>
  <c r="AL87" i="12" s="1"/>
  <c r="AM87" i="12" s="1"/>
  <c r="Q87" i="12"/>
  <c r="R87" i="12" s="1"/>
  <c r="P87" i="12"/>
  <c r="N87" i="12"/>
  <c r="C87" i="12"/>
  <c r="AU86" i="12"/>
  <c r="AS86" i="12"/>
  <c r="AQ86" i="12"/>
  <c r="AO86" i="12"/>
  <c r="AW86" i="12" s="1"/>
  <c r="AX86" i="12" s="1"/>
  <c r="AK86" i="12"/>
  <c r="AI86" i="12"/>
  <c r="AG86" i="12"/>
  <c r="AE86" i="12"/>
  <c r="AC86" i="12"/>
  <c r="AA86" i="12"/>
  <c r="Y86" i="12"/>
  <c r="AL86" i="12" s="1"/>
  <c r="AM86" i="12" s="1"/>
  <c r="AU85" i="12"/>
  <c r="AS85" i="12"/>
  <c r="AQ85" i="12"/>
  <c r="AO85" i="12"/>
  <c r="AW85" i="12" s="1"/>
  <c r="AX85" i="12" s="1"/>
  <c r="AK85" i="12"/>
  <c r="AI85" i="12"/>
  <c r="AG85" i="12"/>
  <c r="AE85" i="12"/>
  <c r="AC85" i="12"/>
  <c r="AA85" i="12"/>
  <c r="Y85" i="12"/>
  <c r="AU84" i="12"/>
  <c r="AS84" i="12"/>
  <c r="AQ84" i="12"/>
  <c r="AO84" i="12"/>
  <c r="AW84" i="12" s="1"/>
  <c r="AX84" i="12" s="1"/>
  <c r="AK84" i="12"/>
  <c r="AI84" i="12"/>
  <c r="AG84" i="12"/>
  <c r="AE84" i="12"/>
  <c r="AC84" i="12"/>
  <c r="AA84" i="12"/>
  <c r="Y84" i="12"/>
  <c r="Q84" i="12"/>
  <c r="R84" i="12" s="1"/>
  <c r="P84" i="12"/>
  <c r="N84" i="12"/>
  <c r="C84" i="12"/>
  <c r="AL84" i="12" l="1"/>
  <c r="AM84" i="12" s="1"/>
  <c r="AY84" i="12" s="1"/>
  <c r="AZ84" i="12" s="1"/>
  <c r="AL85" i="12"/>
  <c r="AM85" i="12" s="1"/>
  <c r="AW87" i="12"/>
  <c r="AX87" i="12" s="1"/>
  <c r="AY87" i="12" s="1"/>
  <c r="AZ87" i="12" s="1"/>
  <c r="AL88" i="12"/>
  <c r="AM88" i="12" s="1"/>
  <c r="AY88" i="12" s="1"/>
  <c r="AZ88" i="12" s="1"/>
  <c r="AW89" i="12"/>
  <c r="AX89" i="12" s="1"/>
  <c r="AY89" i="12" s="1"/>
  <c r="AZ89" i="12" s="1"/>
  <c r="AY86" i="12"/>
  <c r="AZ86" i="12" s="1"/>
  <c r="BJ89" i="12"/>
  <c r="BM89" i="12"/>
  <c r="BK89" i="12"/>
  <c r="BL89" i="12"/>
  <c r="AY85" i="12"/>
  <c r="AZ85" i="12" s="1"/>
  <c r="BA84" i="12" s="1"/>
  <c r="BB84" i="12" s="1"/>
  <c r="BL87" i="12"/>
  <c r="BK87" i="12"/>
  <c r="BJ87" i="12"/>
  <c r="BM87" i="12"/>
  <c r="AW90" i="12"/>
  <c r="AX90" i="12" s="1"/>
  <c r="AY90" i="12" s="1"/>
  <c r="AZ90" i="12" s="1"/>
  <c r="BA89" i="12" s="1"/>
  <c r="BB89" i="12" s="1"/>
  <c r="AV88" i="12"/>
  <c r="BA87" i="12" l="1"/>
  <c r="BB87" i="12" s="1"/>
  <c r="BD90" i="12"/>
  <c r="BF90" i="12" s="1"/>
  <c r="BC90" i="12"/>
  <c r="BE90" i="12" s="1"/>
  <c r="BD89" i="12"/>
  <c r="BF89" i="12" s="1"/>
  <c r="BH89" i="12" s="1"/>
  <c r="BC89" i="12"/>
  <c r="BE89" i="12" s="1"/>
  <c r="BC85" i="12"/>
  <c r="BE85" i="12" s="1"/>
  <c r="BD86" i="12"/>
  <c r="BF86" i="12" s="1"/>
  <c r="BC86" i="12"/>
  <c r="BE86" i="12" s="1"/>
  <c r="BD85" i="12"/>
  <c r="BF85" i="12" s="1"/>
  <c r="BD84" i="12"/>
  <c r="BF84" i="12" s="1"/>
  <c r="BC84" i="12"/>
  <c r="BE84" i="12" s="1"/>
  <c r="BC88" i="12" l="1"/>
  <c r="BE88" i="12" s="1"/>
  <c r="BD87" i="12"/>
  <c r="BF87" i="12" s="1"/>
  <c r="BD88" i="12"/>
  <c r="BF88" i="12" s="1"/>
  <c r="BC87" i="12"/>
  <c r="BE87" i="12" s="1"/>
  <c r="BG84" i="12"/>
  <c r="BH84" i="12"/>
  <c r="BH87" i="12" l="1"/>
  <c r="BI84" i="12"/>
  <c r="AU83" i="12" l="1"/>
  <c r="AS83" i="12"/>
  <c r="AQ83" i="12"/>
  <c r="AO83" i="12"/>
  <c r="AK83" i="12"/>
  <c r="AI83" i="12"/>
  <c r="AG83" i="12"/>
  <c r="AE83" i="12"/>
  <c r="AC83" i="12"/>
  <c r="AA83" i="12"/>
  <c r="Y83" i="12"/>
  <c r="AU82" i="12"/>
  <c r="AS82" i="12"/>
  <c r="AQ82" i="12"/>
  <c r="AO82" i="12"/>
  <c r="AW82" i="12" s="1"/>
  <c r="AX82" i="12" s="1"/>
  <c r="AK82" i="12"/>
  <c r="AI82" i="12"/>
  <c r="AG82" i="12"/>
  <c r="AE82" i="12"/>
  <c r="AC82" i="12"/>
  <c r="AA82" i="12"/>
  <c r="Y82" i="12"/>
  <c r="AL82" i="12" s="1"/>
  <c r="AM82" i="12" s="1"/>
  <c r="Q82" i="12"/>
  <c r="R82" i="12" s="1"/>
  <c r="P82" i="12"/>
  <c r="N82" i="12"/>
  <c r="C82" i="12"/>
  <c r="AU81" i="12"/>
  <c r="AS81" i="12"/>
  <c r="AQ81" i="12"/>
  <c r="AO81" i="12"/>
  <c r="AW81" i="12" s="1"/>
  <c r="AX81" i="12" s="1"/>
  <c r="AK81" i="12"/>
  <c r="AI81" i="12"/>
  <c r="AG81" i="12"/>
  <c r="AE81" i="12"/>
  <c r="AC81" i="12"/>
  <c r="AA81" i="12"/>
  <c r="Y81" i="12"/>
  <c r="AU80" i="12"/>
  <c r="AS80" i="12"/>
  <c r="AQ80" i="12"/>
  <c r="AO80" i="12"/>
  <c r="AK80" i="12"/>
  <c r="AI80" i="12"/>
  <c r="AG80" i="12"/>
  <c r="AE80" i="12"/>
  <c r="AC80" i="12"/>
  <c r="AA80" i="12"/>
  <c r="Y80" i="12"/>
  <c r="AL80" i="12" s="1"/>
  <c r="AM80" i="12" s="1"/>
  <c r="AU79" i="12"/>
  <c r="AS79" i="12"/>
  <c r="AQ79" i="12"/>
  <c r="AO79" i="12"/>
  <c r="AK79" i="12"/>
  <c r="AI79" i="12"/>
  <c r="AG79" i="12"/>
  <c r="AE79" i="12"/>
  <c r="AC79" i="12"/>
  <c r="AA79" i="12"/>
  <c r="Y79" i="12"/>
  <c r="Q79" i="12"/>
  <c r="R79" i="12" s="1"/>
  <c r="P79" i="12"/>
  <c r="N79" i="12"/>
  <c r="C79" i="12"/>
  <c r="AU78" i="12"/>
  <c r="AS78" i="12"/>
  <c r="AQ78" i="12"/>
  <c r="AO78" i="12"/>
  <c r="AK78" i="12"/>
  <c r="AI78" i="12"/>
  <c r="AG78" i="12"/>
  <c r="AE78" i="12"/>
  <c r="AC78" i="12"/>
  <c r="AA78" i="12"/>
  <c r="Y78" i="12"/>
  <c r="AL78" i="12" s="1"/>
  <c r="AM78" i="12" s="1"/>
  <c r="AU77" i="12"/>
  <c r="AS77" i="12"/>
  <c r="AQ77" i="12"/>
  <c r="AO77" i="12"/>
  <c r="AW77" i="12" s="1"/>
  <c r="AX77" i="12" s="1"/>
  <c r="AK77" i="12"/>
  <c r="AI77" i="12"/>
  <c r="AG77" i="12"/>
  <c r="AE77" i="12"/>
  <c r="AC77" i="12"/>
  <c r="AA77" i="12"/>
  <c r="Y77" i="12"/>
  <c r="AL77" i="12" s="1"/>
  <c r="AM77" i="12" s="1"/>
  <c r="AU76" i="12"/>
  <c r="AS76" i="12"/>
  <c r="AQ76" i="12"/>
  <c r="AO76" i="12"/>
  <c r="AK76" i="12"/>
  <c r="AI76" i="12"/>
  <c r="AG76" i="12"/>
  <c r="AE76" i="12"/>
  <c r="AC76" i="12"/>
  <c r="AA76" i="12"/>
  <c r="Y76" i="12"/>
  <c r="Q76" i="12"/>
  <c r="R76" i="12" s="1"/>
  <c r="P76" i="12"/>
  <c r="N76" i="12"/>
  <c r="C76" i="12"/>
  <c r="AU75" i="12"/>
  <c r="AS75" i="12"/>
  <c r="AQ75" i="12"/>
  <c r="AO75" i="12"/>
  <c r="AW75" i="12" s="1"/>
  <c r="AX75" i="12" s="1"/>
  <c r="AK75" i="12"/>
  <c r="AI75" i="12"/>
  <c r="AG75" i="12"/>
  <c r="AE75" i="12"/>
  <c r="AC75" i="12"/>
  <c r="AA75" i="12"/>
  <c r="Y75" i="12"/>
  <c r="AL75" i="12" s="1"/>
  <c r="AM75" i="12" s="1"/>
  <c r="AU74" i="12"/>
  <c r="AS74" i="12"/>
  <c r="AQ74" i="12"/>
  <c r="AO74" i="12"/>
  <c r="AW74" i="12" s="1"/>
  <c r="AX74" i="12" s="1"/>
  <c r="AK74" i="12"/>
  <c r="AI74" i="12"/>
  <c r="AG74" i="12"/>
  <c r="AE74" i="12"/>
  <c r="AC74" i="12"/>
  <c r="AA74" i="12"/>
  <c r="Y74" i="12"/>
  <c r="AU73" i="12"/>
  <c r="AS73" i="12"/>
  <c r="AQ73" i="12"/>
  <c r="AO73" i="12"/>
  <c r="AK73" i="12"/>
  <c r="AI73" i="12"/>
  <c r="AG73" i="12"/>
  <c r="AE73" i="12"/>
  <c r="AC73" i="12"/>
  <c r="AA73" i="12"/>
  <c r="Y73" i="12"/>
  <c r="AL73" i="12" s="1"/>
  <c r="AM73" i="12" s="1"/>
  <c r="Q73" i="12"/>
  <c r="R73" i="12" s="1"/>
  <c r="P73" i="12"/>
  <c r="N73" i="12"/>
  <c r="C73" i="12"/>
  <c r="AU72" i="12"/>
  <c r="AS72" i="12"/>
  <c r="AQ72" i="12"/>
  <c r="AO72" i="12"/>
  <c r="AW72" i="12" s="1"/>
  <c r="AX72" i="12" s="1"/>
  <c r="AK72" i="12"/>
  <c r="AI72" i="12"/>
  <c r="AG72" i="12"/>
  <c r="AE72" i="12"/>
  <c r="AC72" i="12"/>
  <c r="AA72" i="12"/>
  <c r="Y72" i="12"/>
  <c r="AU71" i="12"/>
  <c r="AS71" i="12"/>
  <c r="AQ71" i="12"/>
  <c r="AO71" i="12"/>
  <c r="AW71" i="12" s="1"/>
  <c r="AX71" i="12" s="1"/>
  <c r="AK71" i="12"/>
  <c r="AI71" i="12"/>
  <c r="AG71" i="12"/>
  <c r="AE71" i="12"/>
  <c r="AC71" i="12"/>
  <c r="AA71" i="12"/>
  <c r="Y71" i="12"/>
  <c r="Q71" i="12"/>
  <c r="R71" i="12" s="1"/>
  <c r="P71" i="12"/>
  <c r="N71" i="12"/>
  <c r="C71" i="12"/>
  <c r="AU70" i="12"/>
  <c r="AS70" i="12"/>
  <c r="AQ70" i="12"/>
  <c r="AO70" i="12"/>
  <c r="AK70" i="12"/>
  <c r="AI70" i="12"/>
  <c r="AG70" i="12"/>
  <c r="AE70" i="12"/>
  <c r="AC70" i="12"/>
  <c r="AA70" i="12"/>
  <c r="Y70" i="12"/>
  <c r="AU69" i="12"/>
  <c r="AS69" i="12"/>
  <c r="AQ69" i="12"/>
  <c r="AO69" i="12"/>
  <c r="AW69" i="12" s="1"/>
  <c r="AX69" i="12" s="1"/>
  <c r="AK69" i="12"/>
  <c r="AI69" i="12"/>
  <c r="AG69" i="12"/>
  <c r="AE69" i="12"/>
  <c r="AC69" i="12"/>
  <c r="AA69" i="12"/>
  <c r="Y69" i="12"/>
  <c r="AL69" i="12" s="1"/>
  <c r="AM69" i="12" s="1"/>
  <c r="Q69" i="12"/>
  <c r="R69" i="12" s="1"/>
  <c r="BL69" i="12" s="1"/>
  <c r="P69" i="12"/>
  <c r="N69" i="12"/>
  <c r="C69" i="12"/>
  <c r="AU68" i="12"/>
  <c r="AS68" i="12"/>
  <c r="AQ68" i="12"/>
  <c r="AO68" i="12"/>
  <c r="AK68" i="12"/>
  <c r="AI68" i="12"/>
  <c r="AG68" i="12"/>
  <c r="AE68" i="12"/>
  <c r="AC68" i="12"/>
  <c r="AA68" i="12"/>
  <c r="Y68" i="12"/>
  <c r="AU67" i="12"/>
  <c r="AS67" i="12"/>
  <c r="AQ67" i="12"/>
  <c r="AO67" i="12"/>
  <c r="AW67" i="12" s="1"/>
  <c r="AX67" i="12" s="1"/>
  <c r="AK67" i="12"/>
  <c r="AI67" i="12"/>
  <c r="AG67" i="12"/>
  <c r="AE67" i="12"/>
  <c r="AC67" i="12"/>
  <c r="AA67" i="12"/>
  <c r="Y67" i="12"/>
  <c r="Q67" i="12"/>
  <c r="R67" i="12" s="1"/>
  <c r="P67" i="12"/>
  <c r="N67" i="12"/>
  <c r="C67" i="12"/>
  <c r="AL67" i="12" l="1"/>
  <c r="AM67" i="12" s="1"/>
  <c r="AL68" i="12"/>
  <c r="AM68" i="12" s="1"/>
  <c r="AL70" i="12"/>
  <c r="AM70" i="12" s="1"/>
  <c r="BK71" i="12"/>
  <c r="BM71" i="12"/>
  <c r="BL71" i="12"/>
  <c r="AL72" i="12"/>
  <c r="AM72" i="12" s="1"/>
  <c r="AL74" i="12"/>
  <c r="AM74" i="12" s="1"/>
  <c r="AL76" i="12"/>
  <c r="AM76" i="12" s="1"/>
  <c r="AL79" i="12"/>
  <c r="AM79" i="12" s="1"/>
  <c r="AL81" i="12"/>
  <c r="AM81" i="12" s="1"/>
  <c r="AY81" i="12" s="1"/>
  <c r="AZ81" i="12" s="1"/>
  <c r="AL83" i="12"/>
  <c r="AM83" i="12" s="1"/>
  <c r="AY72" i="12"/>
  <c r="AZ72" i="12" s="1"/>
  <c r="AY67" i="12"/>
  <c r="AZ67" i="12" s="1"/>
  <c r="AW68" i="12"/>
  <c r="AX68" i="12" s="1"/>
  <c r="AY68" i="12" s="1"/>
  <c r="AZ68" i="12" s="1"/>
  <c r="BK69" i="12"/>
  <c r="BJ69" i="12"/>
  <c r="BM69" i="12"/>
  <c r="AY69" i="12"/>
  <c r="AZ69" i="12" s="1"/>
  <c r="AW73" i="12"/>
  <c r="AX73" i="12" s="1"/>
  <c r="AY73" i="12" s="1"/>
  <c r="AZ73" i="12" s="1"/>
  <c r="AY75" i="12"/>
  <c r="AZ75" i="12" s="1"/>
  <c r="AY74" i="12"/>
  <c r="AZ74" i="12" s="1"/>
  <c r="AY77" i="12"/>
  <c r="AZ77" i="12" s="1"/>
  <c r="BL82" i="12"/>
  <c r="BK82" i="12"/>
  <c r="BJ82" i="12"/>
  <c r="BM82" i="12"/>
  <c r="AW70" i="12"/>
  <c r="AX70" i="12" s="1"/>
  <c r="AY70" i="12" s="1"/>
  <c r="AZ70" i="12" s="1"/>
  <c r="AW76" i="12"/>
  <c r="AX76" i="12" s="1"/>
  <c r="AY76" i="12" s="1"/>
  <c r="AZ76" i="12" s="1"/>
  <c r="AW78" i="12"/>
  <c r="AX78" i="12" s="1"/>
  <c r="AY78" i="12" s="1"/>
  <c r="AZ78" i="12" s="1"/>
  <c r="AW80" i="12"/>
  <c r="AX80" i="12" s="1"/>
  <c r="AY80" i="12" s="1"/>
  <c r="AZ80" i="12" s="1"/>
  <c r="AY82" i="12"/>
  <c r="AZ82" i="12" s="1"/>
  <c r="AW83" i="12"/>
  <c r="AX83" i="12" s="1"/>
  <c r="AY83" i="12" s="1"/>
  <c r="AZ83" i="12" s="1"/>
  <c r="AL71" i="12"/>
  <c r="AM71" i="12" s="1"/>
  <c r="AY71" i="12" s="1"/>
  <c r="AZ71" i="12" s="1"/>
  <c r="AW79" i="12"/>
  <c r="AX79" i="12" s="1"/>
  <c r="AY79" i="12" s="1"/>
  <c r="AZ79" i="12" s="1"/>
  <c r="BA79" i="12" s="1"/>
  <c r="BB79" i="12" s="1"/>
  <c r="BJ71" i="12"/>
  <c r="BA73" i="12" l="1"/>
  <c r="BB73" i="12" s="1"/>
  <c r="BA76" i="12"/>
  <c r="BB76" i="12" s="1"/>
  <c r="BD81" i="12"/>
  <c r="BF81" i="12" s="1"/>
  <c r="BC81" i="12"/>
  <c r="BE81" i="12" s="1"/>
  <c r="BD80" i="12"/>
  <c r="BF80" i="12" s="1"/>
  <c r="BD79" i="12"/>
  <c r="BF79" i="12" s="1"/>
  <c r="BC80" i="12"/>
  <c r="BE80" i="12" s="1"/>
  <c r="BG89" i="12" s="1"/>
  <c r="BI89" i="12" s="1"/>
  <c r="BC79" i="12"/>
  <c r="BE79" i="12" s="1"/>
  <c r="BG79" i="12" s="1"/>
  <c r="BC74" i="12"/>
  <c r="BE74" i="12" s="1"/>
  <c r="BC73" i="12"/>
  <c r="BE73" i="12" s="1"/>
  <c r="BD75" i="12"/>
  <c r="BF75" i="12" s="1"/>
  <c r="BD74" i="12"/>
  <c r="BF74" i="12" s="1"/>
  <c r="BC75" i="12"/>
  <c r="BE75" i="12" s="1"/>
  <c r="BD73" i="12"/>
  <c r="BF73" i="12" s="1"/>
  <c r="BA82" i="12"/>
  <c r="BB82" i="12" s="1"/>
  <c r="BA67" i="12"/>
  <c r="BB67" i="12" s="1"/>
  <c r="BA69" i="12"/>
  <c r="BB69" i="12" s="1"/>
  <c r="BA71" i="12"/>
  <c r="BB71" i="12" s="1"/>
  <c r="BC70" i="12" l="1"/>
  <c r="BE70" i="12" s="1"/>
  <c r="BC69" i="12"/>
  <c r="BE69" i="12" s="1"/>
  <c r="BG69" i="12" s="1"/>
  <c r="BD70" i="12"/>
  <c r="BF70" i="12" s="1"/>
  <c r="BD69" i="12"/>
  <c r="BF69" i="12" s="1"/>
  <c r="BH69" i="12" s="1"/>
  <c r="BD68" i="12"/>
  <c r="BF68" i="12" s="1"/>
  <c r="BC68" i="12"/>
  <c r="BE68" i="12" s="1"/>
  <c r="BD67" i="12"/>
  <c r="BF67" i="12" s="1"/>
  <c r="BH67" i="12" s="1"/>
  <c r="BC67" i="12"/>
  <c r="BE67" i="12" s="1"/>
  <c r="BG67" i="12" s="1"/>
  <c r="BI67" i="12" s="1"/>
  <c r="BD83" i="12"/>
  <c r="BF83" i="12" s="1"/>
  <c r="BD82" i="12"/>
  <c r="BF82" i="12" s="1"/>
  <c r="BH82" i="12" s="1"/>
  <c r="BC83" i="12"/>
  <c r="BE83" i="12" s="1"/>
  <c r="BC82" i="12"/>
  <c r="BE82" i="12" s="1"/>
  <c r="BC72" i="12"/>
  <c r="BE72" i="12" s="1"/>
  <c r="BC71" i="12"/>
  <c r="BE71" i="12" s="1"/>
  <c r="BG71" i="12" s="1"/>
  <c r="BD72" i="12"/>
  <c r="BF72" i="12" s="1"/>
  <c r="BD71" i="12"/>
  <c r="BF71" i="12" s="1"/>
  <c r="BH73" i="12"/>
  <c r="BG73" i="12"/>
  <c r="BI73" i="12" s="1"/>
  <c r="BH79" i="12"/>
  <c r="BI79" i="12" s="1"/>
  <c r="BD78" i="12"/>
  <c r="BF78" i="12" s="1"/>
  <c r="BC78" i="12"/>
  <c r="BE78" i="12" s="1"/>
  <c r="BG87" i="12" s="1"/>
  <c r="BI87" i="12" s="1"/>
  <c r="BD77" i="12"/>
  <c r="BF77" i="12" s="1"/>
  <c r="BD76" i="12"/>
  <c r="BF76" i="12" s="1"/>
  <c r="BH76" i="12" s="1"/>
  <c r="BC76" i="12"/>
  <c r="BE76" i="12" s="1"/>
  <c r="BC77" i="12"/>
  <c r="BE77" i="12" s="1"/>
  <c r="BI69" i="12" l="1"/>
  <c r="BG76" i="12"/>
  <c r="BI76" i="12" s="1"/>
  <c r="BH71" i="12"/>
  <c r="BI71" i="12" s="1"/>
  <c r="BG82" i="12"/>
  <c r="BI82" i="12" s="1"/>
  <c r="AU66" i="12" l="1"/>
  <c r="AS66" i="12"/>
  <c r="AQ66" i="12"/>
  <c r="AO66" i="12"/>
  <c r="AW66" i="12" s="1"/>
  <c r="AX66" i="12" s="1"/>
  <c r="AK66" i="12"/>
  <c r="AI66" i="12"/>
  <c r="AG66" i="12"/>
  <c r="AE66" i="12"/>
  <c r="AC66" i="12"/>
  <c r="AA66" i="12"/>
  <c r="Y66" i="12"/>
  <c r="AL66" i="12" s="1"/>
  <c r="AM66" i="12" s="1"/>
  <c r="AU65" i="12"/>
  <c r="AS65" i="12"/>
  <c r="AQ65" i="12"/>
  <c r="AO65" i="12"/>
  <c r="AW65" i="12" s="1"/>
  <c r="AX65" i="12" s="1"/>
  <c r="AK65" i="12"/>
  <c r="AI65" i="12"/>
  <c r="AG65" i="12"/>
  <c r="AE65" i="12"/>
  <c r="AC65" i="12"/>
  <c r="AA65" i="12"/>
  <c r="Y65" i="12"/>
  <c r="Q65" i="12"/>
  <c r="R65" i="12" s="1"/>
  <c r="BM65" i="12" s="1"/>
  <c r="P65" i="12"/>
  <c r="N65" i="12"/>
  <c r="C65" i="12"/>
  <c r="AL65" i="12" l="1"/>
  <c r="AM65" i="12" s="1"/>
  <c r="AY66" i="12"/>
  <c r="AZ66" i="12" s="1"/>
  <c r="AY65" i="12"/>
  <c r="AZ65" i="12" s="1"/>
  <c r="BA65" i="12" s="1"/>
  <c r="BB65" i="12" s="1"/>
  <c r="BK65" i="12"/>
  <c r="BL65" i="12"/>
  <c r="BD65" i="12" l="1"/>
  <c r="BF65" i="12" s="1"/>
  <c r="BC65" i="12"/>
  <c r="BE65" i="12" s="1"/>
  <c r="BD66" i="12"/>
  <c r="BF66" i="12" s="1"/>
  <c r="BC66" i="12"/>
  <c r="BE66" i="12" s="1"/>
  <c r="BG65" i="12" l="1"/>
  <c r="BH65" i="12"/>
  <c r="BI65" i="12" l="1"/>
  <c r="AU64" i="12" l="1"/>
  <c r="AS64" i="12"/>
  <c r="AQ64" i="12"/>
  <c r="AO64" i="12"/>
  <c r="AW64" i="12" s="1"/>
  <c r="AX64" i="12" s="1"/>
  <c r="AK64" i="12"/>
  <c r="AI64" i="12"/>
  <c r="AG64" i="12"/>
  <c r="AE64" i="12"/>
  <c r="AC64" i="12"/>
  <c r="AA64" i="12"/>
  <c r="Y64" i="12"/>
  <c r="AL64" i="12" s="1"/>
  <c r="AM64" i="12" s="1"/>
  <c r="AU63" i="12"/>
  <c r="AS63" i="12"/>
  <c r="AQ63" i="12"/>
  <c r="AO63" i="12"/>
  <c r="AW63" i="12" s="1"/>
  <c r="AX63" i="12" s="1"/>
  <c r="AK63" i="12"/>
  <c r="AI63" i="12"/>
  <c r="AG63" i="12"/>
  <c r="AE63" i="12"/>
  <c r="AC63" i="12"/>
  <c r="AA63" i="12"/>
  <c r="Y63" i="12"/>
  <c r="Q63" i="12"/>
  <c r="R63" i="12" s="1"/>
  <c r="BJ63" i="12" s="1"/>
  <c r="P63" i="12"/>
  <c r="N63" i="12"/>
  <c r="C63" i="12"/>
  <c r="AU62" i="12"/>
  <c r="AS62" i="12"/>
  <c r="AQ62" i="12"/>
  <c r="AO62" i="12"/>
  <c r="AW62" i="12" s="1"/>
  <c r="AX62" i="12" s="1"/>
  <c r="AK62" i="12"/>
  <c r="AI62" i="12"/>
  <c r="AG62" i="12"/>
  <c r="AE62" i="12"/>
  <c r="AC62" i="12"/>
  <c r="AA62" i="12"/>
  <c r="Y62" i="12"/>
  <c r="AL62" i="12" s="1"/>
  <c r="AM62" i="12" s="1"/>
  <c r="AU61" i="12"/>
  <c r="AS61" i="12"/>
  <c r="AQ61" i="12"/>
  <c r="AO61" i="12"/>
  <c r="AW61" i="12" s="1"/>
  <c r="AX61" i="12" s="1"/>
  <c r="AK61" i="12"/>
  <c r="AI61" i="12"/>
  <c r="AG61" i="12"/>
  <c r="AE61" i="12"/>
  <c r="AC61" i="12"/>
  <c r="AA61" i="12"/>
  <c r="Y61" i="12"/>
  <c r="Q61" i="12"/>
  <c r="R61" i="12" s="1"/>
  <c r="BJ61" i="12" s="1"/>
  <c r="P61" i="12"/>
  <c r="N61" i="12"/>
  <c r="C61" i="12"/>
  <c r="AL61" i="12" l="1"/>
  <c r="AM61" i="12" s="1"/>
  <c r="AY61" i="12" s="1"/>
  <c r="AZ61" i="12" s="1"/>
  <c r="AL63" i="12"/>
  <c r="AM63" i="12" s="1"/>
  <c r="AY63" i="12" s="1"/>
  <c r="AZ63" i="12" s="1"/>
  <c r="AY64" i="12"/>
  <c r="AZ64" i="12" s="1"/>
  <c r="BA63" i="12" s="1"/>
  <c r="BB63" i="12" s="1"/>
  <c r="AY62" i="12"/>
  <c r="AZ62" i="12" s="1"/>
  <c r="BA61" i="12" s="1"/>
  <c r="BB61" i="12" s="1"/>
  <c r="BK61" i="12"/>
  <c r="BK63" i="12"/>
  <c r="BL61" i="12"/>
  <c r="BL63" i="12"/>
  <c r="BM61" i="12"/>
  <c r="BM63" i="12"/>
  <c r="BC62" i="12" l="1"/>
  <c r="BE62" i="12" s="1"/>
  <c r="BC61" i="12"/>
  <c r="BE61" i="12" s="1"/>
  <c r="BG61" i="12" s="1"/>
  <c r="BD62" i="12"/>
  <c r="BF62" i="12" s="1"/>
  <c r="BD61" i="12"/>
  <c r="BF61" i="12" s="1"/>
  <c r="BH61" i="12" s="1"/>
  <c r="BC64" i="12"/>
  <c r="BE64" i="12" s="1"/>
  <c r="BC63" i="12"/>
  <c r="BE63" i="12" s="1"/>
  <c r="BG63" i="12" s="1"/>
  <c r="BD64" i="12"/>
  <c r="BF64" i="12" s="1"/>
  <c r="BD63" i="12"/>
  <c r="BF63" i="12" s="1"/>
  <c r="BH63" i="12" s="1"/>
  <c r="BI61" i="12" l="1"/>
  <c r="BI63" i="12"/>
  <c r="AU60" i="12" l="1"/>
  <c r="AS60" i="12"/>
  <c r="AQ60" i="12"/>
  <c r="AO60" i="12"/>
  <c r="AW60" i="12" s="1"/>
  <c r="AX60" i="12" s="1"/>
  <c r="AK60" i="12"/>
  <c r="AI60" i="12"/>
  <c r="AG60" i="12"/>
  <c r="AE60" i="12"/>
  <c r="AC60" i="12"/>
  <c r="AA60" i="12"/>
  <c r="Y60" i="12"/>
  <c r="AU59" i="12"/>
  <c r="AS59" i="12"/>
  <c r="AQ59" i="12"/>
  <c r="AO59" i="12"/>
  <c r="AW59" i="12" s="1"/>
  <c r="AX59" i="12" s="1"/>
  <c r="AK59" i="12"/>
  <c r="AI59" i="12"/>
  <c r="AG59" i="12"/>
  <c r="AE59" i="12"/>
  <c r="AC59" i="12"/>
  <c r="AA59" i="12"/>
  <c r="Y59" i="12"/>
  <c r="AL59" i="12" s="1"/>
  <c r="AM59" i="12" s="1"/>
  <c r="AY59" i="12" s="1"/>
  <c r="AZ59" i="12" s="1"/>
  <c r="Q59" i="12"/>
  <c r="R59" i="12" s="1"/>
  <c r="P59" i="12"/>
  <c r="N59" i="12"/>
  <c r="C59" i="12"/>
  <c r="AL60" i="12" l="1"/>
  <c r="AM60" i="12" s="1"/>
  <c r="AY60" i="12" s="1"/>
  <c r="AZ60" i="12" s="1"/>
  <c r="BA59" i="12"/>
  <c r="BB59" i="12" s="1"/>
  <c r="BD60" i="12" l="1"/>
  <c r="BF60" i="12" s="1"/>
  <c r="BD59" i="12"/>
  <c r="BF59" i="12" s="1"/>
  <c r="BC60" i="12"/>
  <c r="BE60" i="12" s="1"/>
  <c r="BC59" i="12"/>
  <c r="BE59" i="12" s="1"/>
  <c r="BG59" i="12" s="1"/>
  <c r="BH59" i="12" l="1"/>
  <c r="BI59" i="12" s="1"/>
  <c r="AU58" i="12" l="1"/>
  <c r="AS58" i="12"/>
  <c r="AQ58" i="12"/>
  <c r="AO58" i="12"/>
  <c r="AW58" i="12" s="1"/>
  <c r="AX58" i="12" s="1"/>
  <c r="AK58" i="12"/>
  <c r="AI58" i="12"/>
  <c r="AG58" i="12"/>
  <c r="AE58" i="12"/>
  <c r="AC58" i="12"/>
  <c r="AA58" i="12"/>
  <c r="Y58" i="12"/>
  <c r="AU57" i="12"/>
  <c r="AS57" i="12"/>
  <c r="AQ57" i="12"/>
  <c r="AO57" i="12"/>
  <c r="AW57" i="12" s="1"/>
  <c r="AX57" i="12" s="1"/>
  <c r="AK57" i="12"/>
  <c r="AI57" i="12"/>
  <c r="AG57" i="12"/>
  <c r="AE57" i="12"/>
  <c r="AC57" i="12"/>
  <c r="AA57" i="12"/>
  <c r="Y57" i="12"/>
  <c r="AL57" i="12" s="1"/>
  <c r="AM57" i="12" s="1"/>
  <c r="Q57" i="12"/>
  <c r="R57" i="12" s="1"/>
  <c r="P57" i="12"/>
  <c r="N57" i="12"/>
  <c r="C57" i="12"/>
  <c r="AU56" i="12"/>
  <c r="AS56" i="12"/>
  <c r="AQ56" i="12"/>
  <c r="AO56" i="12"/>
  <c r="AW56" i="12" s="1"/>
  <c r="AX56" i="12" s="1"/>
  <c r="AK56" i="12"/>
  <c r="AI56" i="12"/>
  <c r="AG56" i="12"/>
  <c r="AE56" i="12"/>
  <c r="AC56" i="12"/>
  <c r="AA56" i="12"/>
  <c r="Y56" i="12"/>
  <c r="AU55" i="12"/>
  <c r="AS55" i="12"/>
  <c r="AQ55" i="12"/>
  <c r="AO55" i="12"/>
  <c r="AW55" i="12" s="1"/>
  <c r="AX55" i="12" s="1"/>
  <c r="AK55" i="12"/>
  <c r="AI55" i="12"/>
  <c r="AG55" i="12"/>
  <c r="AE55" i="12"/>
  <c r="AC55" i="12"/>
  <c r="AA55" i="12"/>
  <c r="Y55" i="12"/>
  <c r="AL55" i="12" s="1"/>
  <c r="AM55" i="12" s="1"/>
  <c r="AY55" i="12" s="1"/>
  <c r="AZ55" i="12" s="1"/>
  <c r="Q55" i="12"/>
  <c r="R55" i="12" s="1"/>
  <c r="P55" i="12"/>
  <c r="N55" i="12"/>
  <c r="C55" i="12"/>
  <c r="AL56" i="12" l="1"/>
  <c r="AM56" i="12" s="1"/>
  <c r="AY56" i="12" s="1"/>
  <c r="AZ56" i="12" s="1"/>
  <c r="BA55" i="12" s="1"/>
  <c r="BB55" i="12" s="1"/>
  <c r="AL58" i="12"/>
  <c r="AM58" i="12" s="1"/>
  <c r="BC56" i="12"/>
  <c r="BE56" i="12" s="1"/>
  <c r="BC55" i="12"/>
  <c r="BD56" i="12"/>
  <c r="BF56" i="12" s="1"/>
  <c r="BD55" i="12"/>
  <c r="BF55" i="12" s="1"/>
  <c r="BH55" i="12" s="1"/>
  <c r="BK57" i="12"/>
  <c r="BJ57" i="12"/>
  <c r="BM57" i="12"/>
  <c r="BL57" i="12"/>
  <c r="AY57" i="12"/>
  <c r="AZ57" i="12" s="1"/>
  <c r="BK55" i="12"/>
  <c r="BJ55" i="12"/>
  <c r="BM55" i="12"/>
  <c r="BL55" i="12"/>
  <c r="AY58" i="12"/>
  <c r="AZ58" i="12" s="1"/>
  <c r="BE55" i="12"/>
  <c r="BA57" i="12" l="1"/>
  <c r="BB57" i="12" s="1"/>
  <c r="BG55" i="12"/>
  <c r="BI55" i="12" s="1"/>
  <c r="BD58" i="12" l="1"/>
  <c r="BF58" i="12" s="1"/>
  <c r="BC58" i="12"/>
  <c r="BE58" i="12" s="1"/>
  <c r="BC57" i="12"/>
  <c r="BE57" i="12" s="1"/>
  <c r="BD57" i="12"/>
  <c r="BF57" i="12" s="1"/>
  <c r="BH57" i="12" s="1"/>
  <c r="BG57" i="12" l="1"/>
  <c r="BI57" i="12" s="1"/>
  <c r="AU54" i="12" l="1"/>
  <c r="AS54" i="12"/>
  <c r="AQ54" i="12"/>
  <c r="AO54" i="12"/>
  <c r="AW54" i="12" s="1"/>
  <c r="AX54" i="12" s="1"/>
  <c r="AK54" i="12"/>
  <c r="AI54" i="12"/>
  <c r="AG54" i="12"/>
  <c r="AE54" i="12"/>
  <c r="AC54" i="12"/>
  <c r="AA54" i="12"/>
  <c r="Y54" i="12"/>
  <c r="AU53" i="12"/>
  <c r="AS53" i="12"/>
  <c r="AQ53" i="12"/>
  <c r="AO53" i="12"/>
  <c r="AK53" i="12"/>
  <c r="AI53" i="12"/>
  <c r="AG53" i="12"/>
  <c r="AE53" i="12"/>
  <c r="AC53" i="12"/>
  <c r="AA53" i="12"/>
  <c r="Y53" i="12"/>
  <c r="Q53" i="12"/>
  <c r="R53" i="12" s="1"/>
  <c r="BJ53" i="12" s="1"/>
  <c r="P53" i="12"/>
  <c r="N53" i="12"/>
  <c r="C53" i="12"/>
  <c r="AU52" i="12"/>
  <c r="AS52" i="12"/>
  <c r="AQ52" i="12"/>
  <c r="AO52" i="12"/>
  <c r="AK52" i="12"/>
  <c r="AI52" i="12"/>
  <c r="AG52" i="12"/>
  <c r="AE52" i="12"/>
  <c r="AC52" i="12"/>
  <c r="AA52" i="12"/>
  <c r="Y52" i="12"/>
  <c r="AU51" i="12"/>
  <c r="AS51" i="12"/>
  <c r="AQ51" i="12"/>
  <c r="AO51" i="12"/>
  <c r="AK51" i="12"/>
  <c r="AI51" i="12"/>
  <c r="AG51" i="12"/>
  <c r="AE51" i="12"/>
  <c r="AC51" i="12"/>
  <c r="AA51" i="12"/>
  <c r="Y51" i="12"/>
  <c r="Q51" i="12"/>
  <c r="R51" i="12" s="1"/>
  <c r="P51" i="12"/>
  <c r="N51" i="12"/>
  <c r="C51" i="12"/>
  <c r="AL53" i="12" l="1"/>
  <c r="AM53" i="12" s="1"/>
  <c r="AL54" i="12"/>
  <c r="AM54" i="12" s="1"/>
  <c r="AL51" i="12"/>
  <c r="AM51" i="12" s="1"/>
  <c r="AL52" i="12"/>
  <c r="AM52" i="12" s="1"/>
  <c r="AW53" i="12"/>
  <c r="AX53" i="12" s="1"/>
  <c r="AY53" i="12" s="1"/>
  <c r="AZ53" i="12" s="1"/>
  <c r="AW51" i="12"/>
  <c r="AX51" i="12" s="1"/>
  <c r="AW52" i="12"/>
  <c r="AX52" i="12" s="1"/>
  <c r="AY54" i="12"/>
  <c r="AZ54" i="12" s="1"/>
  <c r="BL53" i="12"/>
  <c r="BM53" i="12"/>
  <c r="BK53" i="12"/>
  <c r="AY52" i="12" l="1"/>
  <c r="AZ52" i="12" s="1"/>
  <c r="AY51" i="12"/>
  <c r="AZ51" i="12" s="1"/>
  <c r="BA53" i="12"/>
  <c r="BB53" i="12" s="1"/>
  <c r="BC54" i="12" s="1"/>
  <c r="BE54" i="12" s="1"/>
  <c r="BD54" i="12"/>
  <c r="BF54" i="12" s="1"/>
  <c r="BD53" i="12"/>
  <c r="BF53" i="12" s="1"/>
  <c r="BA51" i="12" l="1"/>
  <c r="BB51" i="12" s="1"/>
  <c r="BC51" i="12"/>
  <c r="BE51" i="12" s="1"/>
  <c r="BC52" i="12"/>
  <c r="BE52" i="12" s="1"/>
  <c r="BC53" i="12"/>
  <c r="BE53" i="12" s="1"/>
  <c r="BG53" i="12" s="1"/>
  <c r="BD51" i="12"/>
  <c r="BF51" i="12" s="1"/>
  <c r="BD52" i="12"/>
  <c r="BF52" i="12" s="1"/>
  <c r="BH53" i="12"/>
  <c r="BG51" i="12"/>
  <c r="BI53" i="12"/>
  <c r="BH51" i="12" l="1"/>
  <c r="BI51" i="12"/>
  <c r="AU50" i="12"/>
  <c r="AS50" i="12"/>
  <c r="AQ50" i="12"/>
  <c r="AO50" i="12"/>
  <c r="AK50" i="12"/>
  <c r="AI50" i="12"/>
  <c r="AG50" i="12"/>
  <c r="AE50" i="12"/>
  <c r="AC50" i="12"/>
  <c r="AA50" i="12"/>
  <c r="Y50" i="12"/>
  <c r="AL50" i="12" s="1"/>
  <c r="AM50" i="12" s="1"/>
  <c r="AU49" i="12"/>
  <c r="AS49" i="12"/>
  <c r="AQ49" i="12"/>
  <c r="AO49" i="12"/>
  <c r="AW49" i="12" s="1"/>
  <c r="AX49" i="12" s="1"/>
  <c r="AK49" i="12"/>
  <c r="AI49" i="12"/>
  <c r="AG49" i="12"/>
  <c r="AE49" i="12"/>
  <c r="AC49" i="12"/>
  <c r="AA49" i="12"/>
  <c r="Y49" i="12"/>
  <c r="Q49" i="12"/>
  <c r="R49" i="12" s="1"/>
  <c r="P49" i="12"/>
  <c r="N49" i="12"/>
  <c r="C49" i="12"/>
  <c r="AU48" i="12"/>
  <c r="AS48" i="12"/>
  <c r="AQ48" i="12"/>
  <c r="AO48" i="12"/>
  <c r="AK48" i="12"/>
  <c r="AI48" i="12"/>
  <c r="AG48" i="12"/>
  <c r="AE48" i="12"/>
  <c r="AC48" i="12"/>
  <c r="AA48" i="12"/>
  <c r="Y48" i="12"/>
  <c r="AU47" i="12"/>
  <c r="AS47" i="12"/>
  <c r="AQ47" i="12"/>
  <c r="AO47" i="12"/>
  <c r="AW47" i="12" s="1"/>
  <c r="AX47" i="12" s="1"/>
  <c r="AK47" i="12"/>
  <c r="AI47" i="12"/>
  <c r="AG47" i="12"/>
  <c r="AE47" i="12"/>
  <c r="AC47" i="12"/>
  <c r="AA47" i="12"/>
  <c r="Y47" i="12"/>
  <c r="Q47" i="12"/>
  <c r="R47" i="12" s="1"/>
  <c r="P47" i="12"/>
  <c r="N47" i="12"/>
  <c r="C47" i="12"/>
  <c r="AL47" i="12" l="1"/>
  <c r="AM47" i="12" s="1"/>
  <c r="AW48" i="12"/>
  <c r="AX48" i="12" s="1"/>
  <c r="AL48" i="12"/>
  <c r="AM48" i="12" s="1"/>
  <c r="AY48" i="12" s="1"/>
  <c r="AZ48" i="12" s="1"/>
  <c r="AL49" i="12"/>
  <c r="AM49" i="12" s="1"/>
  <c r="AW50" i="12"/>
  <c r="AX50" i="12" s="1"/>
  <c r="AY50" i="12" s="1"/>
  <c r="AZ50" i="12" s="1"/>
  <c r="BM47" i="12"/>
  <c r="BJ47" i="12"/>
  <c r="BL47" i="12"/>
  <c r="BK47" i="12"/>
  <c r="BJ49" i="12"/>
  <c r="BM49" i="12"/>
  <c r="BL49" i="12"/>
  <c r="BK49" i="12"/>
  <c r="AY47" i="12"/>
  <c r="AZ47" i="12" s="1"/>
  <c r="AY49" i="12"/>
  <c r="AZ49" i="12" s="1"/>
  <c r="BA49" i="12" l="1"/>
  <c r="BB49" i="12" s="1"/>
  <c r="BA47" i="12"/>
  <c r="BB47" i="12" s="1"/>
  <c r="BC47" i="12"/>
  <c r="BE47" i="12" s="1"/>
  <c r="BD48" i="12"/>
  <c r="BF48" i="12" s="1"/>
  <c r="BD47" i="12"/>
  <c r="BF47" i="12" s="1"/>
  <c r="BC48" i="12"/>
  <c r="BE48" i="12" s="1"/>
  <c r="BD50" i="12"/>
  <c r="BF50" i="12" s="1"/>
  <c r="BD49" i="12"/>
  <c r="BF49" i="12" s="1"/>
  <c r="BH49" i="12" s="1"/>
  <c r="BC50" i="12"/>
  <c r="BE50" i="12" s="1"/>
  <c r="BC49" i="12"/>
  <c r="BE49" i="12" s="1"/>
  <c r="BH47" i="12" l="1"/>
  <c r="BG49" i="12"/>
  <c r="BI49" i="12" s="1"/>
  <c r="BG47" i="12"/>
  <c r="BI47" i="12" s="1"/>
  <c r="AU46" i="12" l="1"/>
  <c r="AS46" i="12"/>
  <c r="AQ46" i="12"/>
  <c r="AO46" i="12"/>
  <c r="AW46" i="12" s="1"/>
  <c r="AX46" i="12" s="1"/>
  <c r="AK46" i="12"/>
  <c r="AI46" i="12"/>
  <c r="AG46" i="12"/>
  <c r="AE46" i="12"/>
  <c r="AC46" i="12"/>
  <c r="AA46" i="12"/>
  <c r="Y46" i="12"/>
  <c r="AU45" i="12"/>
  <c r="AS45" i="12"/>
  <c r="AQ45" i="12"/>
  <c r="AO45" i="12"/>
  <c r="AK45" i="12"/>
  <c r="AI45" i="12"/>
  <c r="AG45" i="12"/>
  <c r="AE45" i="12"/>
  <c r="AC45" i="12"/>
  <c r="AA45" i="12"/>
  <c r="Y45" i="12"/>
  <c r="Q45" i="12"/>
  <c r="R45" i="12" s="1"/>
  <c r="P45" i="12"/>
  <c r="N45" i="12"/>
  <c r="C45" i="12"/>
  <c r="AW45" i="12" l="1"/>
  <c r="AX45" i="12" s="1"/>
  <c r="AL46" i="12"/>
  <c r="AM46" i="12" s="1"/>
  <c r="AL45" i="12"/>
  <c r="AM45" i="12" s="1"/>
  <c r="AY45" i="12" s="1"/>
  <c r="AZ45" i="12" s="1"/>
  <c r="AY46" i="12"/>
  <c r="AZ46" i="12" s="1"/>
  <c r="BA45" i="12" s="1"/>
  <c r="BB45" i="12" s="1"/>
  <c r="BD46" i="12" l="1"/>
  <c r="BF46" i="12" s="1"/>
  <c r="BD45" i="12"/>
  <c r="BF45" i="12" s="1"/>
  <c r="BC46" i="12"/>
  <c r="BE46" i="12" s="1"/>
  <c r="BC45" i="12"/>
  <c r="BE45" i="12" s="1"/>
  <c r="BG45" i="12" s="1"/>
  <c r="BH45" i="12" l="1"/>
  <c r="BI45" i="12" s="1"/>
  <c r="AU44" i="12"/>
  <c r="AS44" i="12"/>
  <c r="AQ44" i="12"/>
  <c r="AO44" i="12"/>
  <c r="AK44" i="12"/>
  <c r="AI44" i="12"/>
  <c r="AG44" i="12"/>
  <c r="AE44" i="12"/>
  <c r="AC44" i="12"/>
  <c r="AA44" i="12"/>
  <c r="Y44" i="12"/>
  <c r="AU43" i="12"/>
  <c r="AS43" i="12"/>
  <c r="AQ43" i="12"/>
  <c r="AO43" i="12"/>
  <c r="AK43" i="12"/>
  <c r="AI43" i="12"/>
  <c r="AG43" i="12"/>
  <c r="AE43" i="12"/>
  <c r="AC43" i="12"/>
  <c r="AA43" i="12"/>
  <c r="Y43" i="12"/>
  <c r="Q43" i="12"/>
  <c r="R43" i="12" s="1"/>
  <c r="P43" i="12"/>
  <c r="N43" i="12"/>
  <c r="C43" i="12"/>
  <c r="BH42" i="12"/>
  <c r="BG42" i="12"/>
  <c r="AU42" i="12"/>
  <c r="AS42" i="12"/>
  <c r="AQ42" i="12"/>
  <c r="AO42" i="12"/>
  <c r="AK42" i="12"/>
  <c r="AI42" i="12"/>
  <c r="AG42" i="12"/>
  <c r="AE42" i="12"/>
  <c r="AC42" i="12"/>
  <c r="AA42" i="12"/>
  <c r="Y42" i="12"/>
  <c r="Q42" i="12"/>
  <c r="R42" i="12" s="1"/>
  <c r="C42" i="12"/>
  <c r="AU41" i="12"/>
  <c r="AS41" i="12"/>
  <c r="AQ41" i="12"/>
  <c r="AO41" i="12"/>
  <c r="AK41" i="12"/>
  <c r="AI41" i="12"/>
  <c r="AG41" i="12"/>
  <c r="AE41" i="12"/>
  <c r="AC41" i="12"/>
  <c r="AA41" i="12"/>
  <c r="Y41" i="12"/>
  <c r="Q41" i="12"/>
  <c r="R41" i="12" s="1"/>
  <c r="P41" i="12"/>
  <c r="N41" i="12"/>
  <c r="C41" i="12"/>
  <c r="AW42" i="12" l="1"/>
  <c r="AX42" i="12" s="1"/>
  <c r="AL44" i="12"/>
  <c r="AM44" i="12" s="1"/>
  <c r="AW44" i="12"/>
  <c r="AX44" i="12" s="1"/>
  <c r="AW43" i="12"/>
  <c r="AX43" i="12" s="1"/>
  <c r="AL43" i="12"/>
  <c r="AM43" i="12" s="1"/>
  <c r="BI42" i="12"/>
  <c r="AL41" i="12"/>
  <c r="AM41" i="12" s="1"/>
  <c r="AW41" i="12"/>
  <c r="AX41" i="12" s="1"/>
  <c r="AL42" i="12"/>
  <c r="AM42" i="12" s="1"/>
  <c r="AY42" i="12" s="1"/>
  <c r="AZ42" i="12" s="1"/>
  <c r="BA42" i="12" s="1"/>
  <c r="BB42" i="12" s="1"/>
  <c r="AY43" i="12"/>
  <c r="AZ43" i="12" s="1"/>
  <c r="AY44" i="12" l="1"/>
  <c r="AZ44" i="12" s="1"/>
  <c r="BA43" i="12" s="1"/>
  <c r="BB43" i="12" s="1"/>
  <c r="AY41" i="12"/>
  <c r="AZ41" i="12" s="1"/>
  <c r="BA41" i="12" s="1"/>
  <c r="BB41" i="12" s="1"/>
  <c r="BC41" i="12" s="1"/>
  <c r="BE41" i="12" s="1"/>
  <c r="BG41" i="12" s="1"/>
  <c r="BD44" i="12"/>
  <c r="BF44" i="12" s="1"/>
  <c r="BD43" i="12"/>
  <c r="BF43" i="12" s="1"/>
  <c r="BH43" i="12" s="1"/>
  <c r="BC44" i="12"/>
  <c r="BE44" i="12" s="1"/>
  <c r="BC43" i="12"/>
  <c r="BE43" i="12" s="1"/>
  <c r="BD42" i="12"/>
  <c r="BC42" i="12"/>
  <c r="BG43" i="12" l="1"/>
  <c r="BI43" i="12" s="1"/>
  <c r="BD41" i="12"/>
  <c r="BF41" i="12" s="1"/>
  <c r="BH41" i="12" s="1"/>
  <c r="BI41" i="12" s="1"/>
  <c r="AU40" i="12"/>
  <c r="AS40" i="12"/>
  <c r="AQ40" i="12"/>
  <c r="AO40" i="12"/>
  <c r="AK40" i="12"/>
  <c r="AI40" i="12"/>
  <c r="AG40" i="12"/>
  <c r="AE40" i="12"/>
  <c r="AC40" i="12"/>
  <c r="AA40" i="12"/>
  <c r="Y40" i="12"/>
  <c r="BD39" i="12"/>
  <c r="BC39" i="12"/>
  <c r="AU39" i="12"/>
  <c r="AS39" i="12"/>
  <c r="AQ39" i="12"/>
  <c r="AO39" i="12"/>
  <c r="AK39" i="12"/>
  <c r="AI39" i="12"/>
  <c r="AG39" i="12"/>
  <c r="AE39" i="12"/>
  <c r="AC39" i="12"/>
  <c r="AA39" i="12"/>
  <c r="Y39" i="12"/>
  <c r="AU38" i="12"/>
  <c r="AS38" i="12"/>
  <c r="AQ38" i="12"/>
  <c r="AO38" i="12"/>
  <c r="AK38" i="12"/>
  <c r="AI38" i="12"/>
  <c r="AG38" i="12"/>
  <c r="AE38" i="12"/>
  <c r="AC38" i="12"/>
  <c r="AA38" i="12"/>
  <c r="Y38" i="12"/>
  <c r="Q38" i="12"/>
  <c r="R38" i="12" s="1"/>
  <c r="P38" i="12"/>
  <c r="N38" i="12"/>
  <c r="C38" i="12"/>
  <c r="AL40" i="12" l="1"/>
  <c r="AM40" i="12" s="1"/>
  <c r="AL38" i="12"/>
  <c r="AM38" i="12" s="1"/>
  <c r="AL39" i="12"/>
  <c r="AM39" i="12" s="1"/>
  <c r="AW39" i="12"/>
  <c r="AX39" i="12" s="1"/>
  <c r="AW38" i="12"/>
  <c r="AX38" i="12" s="1"/>
  <c r="AW40" i="12"/>
  <c r="AX40" i="12" s="1"/>
  <c r="AY40" i="12" s="1"/>
  <c r="AZ40" i="12" s="1"/>
  <c r="AY38" i="12" l="1"/>
  <c r="AZ38" i="12" s="1"/>
  <c r="AY39" i="12"/>
  <c r="AZ39" i="12" s="1"/>
  <c r="BA38" i="12" l="1"/>
  <c r="BB38" i="12" s="1"/>
  <c r="BC38" i="12" s="1"/>
  <c r="BE38" i="12" s="1"/>
  <c r="BC40" i="12" l="1"/>
  <c r="BE40" i="12" s="1"/>
  <c r="BG38" i="12" s="1"/>
  <c r="BD40" i="12"/>
  <c r="BF40" i="12" s="1"/>
  <c r="BD38" i="12"/>
  <c r="BF38" i="12" s="1"/>
  <c r="BH38" i="12" s="1"/>
  <c r="BI38" i="12" l="1"/>
  <c r="AU37" i="12"/>
  <c r="AS37" i="12"/>
  <c r="AQ37" i="12"/>
  <c r="AO37" i="12"/>
  <c r="AK37" i="12"/>
  <c r="AI37" i="12"/>
  <c r="AG37" i="12"/>
  <c r="AE37" i="12"/>
  <c r="AC37" i="12"/>
  <c r="AA37" i="12"/>
  <c r="Y37" i="12"/>
  <c r="AU36" i="12"/>
  <c r="AS36" i="12"/>
  <c r="AQ36" i="12"/>
  <c r="AO36" i="12"/>
  <c r="AK36" i="12"/>
  <c r="AI36" i="12"/>
  <c r="AG36" i="12"/>
  <c r="AE36" i="12"/>
  <c r="AC36" i="12"/>
  <c r="AA36" i="12"/>
  <c r="Y36" i="12"/>
  <c r="Q36" i="12"/>
  <c r="R36" i="12" s="1"/>
  <c r="P36" i="12"/>
  <c r="N36" i="12"/>
  <c r="C36" i="12"/>
  <c r="AW37" i="12" l="1"/>
  <c r="AX37" i="12" s="1"/>
  <c r="AL36" i="12"/>
  <c r="AM36" i="12" s="1"/>
  <c r="AW36" i="12"/>
  <c r="AX36" i="12" s="1"/>
  <c r="AY36" i="12" s="1"/>
  <c r="AZ36" i="12" s="1"/>
  <c r="AL37" i="12"/>
  <c r="AM37" i="12" s="1"/>
  <c r="AY37" i="12" s="1"/>
  <c r="AZ37" i="12" s="1"/>
  <c r="BA36" i="12" l="1"/>
  <c r="BB36" i="12" s="1"/>
  <c r="BD37" i="12" l="1"/>
  <c r="BF37" i="12" s="1"/>
  <c r="BD36" i="12"/>
  <c r="BF36" i="12" s="1"/>
  <c r="BC37" i="12"/>
  <c r="BE37" i="12" s="1"/>
  <c r="BC36" i="12"/>
  <c r="BE36" i="12" s="1"/>
  <c r="BG36" i="12" s="1"/>
  <c r="BH36" i="12" l="1"/>
  <c r="BI36" i="12" s="1"/>
  <c r="AU35" i="12"/>
  <c r="AS35" i="12"/>
  <c r="AQ35" i="12"/>
  <c r="AO35" i="12"/>
  <c r="AK35" i="12"/>
  <c r="AI35" i="12"/>
  <c r="AG35" i="12"/>
  <c r="AE35" i="12"/>
  <c r="AC35" i="12"/>
  <c r="AA35" i="12"/>
  <c r="Y35" i="12"/>
  <c r="AU34" i="12"/>
  <c r="AS34" i="12"/>
  <c r="AQ34" i="12"/>
  <c r="AO34" i="12"/>
  <c r="AK34" i="12"/>
  <c r="AI34" i="12"/>
  <c r="AG34" i="12"/>
  <c r="AE34" i="12"/>
  <c r="AC34" i="12"/>
  <c r="AA34" i="12"/>
  <c r="Y34" i="12"/>
  <c r="Q34" i="12"/>
  <c r="R34" i="12" s="1"/>
  <c r="P34" i="12"/>
  <c r="N34" i="12"/>
  <c r="C34" i="12"/>
  <c r="AL35" i="12" l="1"/>
  <c r="AM35" i="12" s="1"/>
  <c r="AW35" i="12"/>
  <c r="AX35" i="12" s="1"/>
  <c r="AW34" i="12"/>
  <c r="AX34" i="12" s="1"/>
  <c r="AL34" i="12"/>
  <c r="AM34" i="12" s="1"/>
  <c r="AY34" i="12" s="1"/>
  <c r="AZ34" i="12" s="1"/>
  <c r="AY35" i="12" l="1"/>
  <c r="AZ35" i="12" s="1"/>
  <c r="BA34" i="12" s="1"/>
  <c r="BB34" i="12" s="1"/>
  <c r="BC35" i="12" l="1"/>
  <c r="BE35" i="12" s="1"/>
  <c r="BC34" i="12"/>
  <c r="BE34" i="12" s="1"/>
  <c r="BG34" i="12" s="1"/>
  <c r="BD35" i="12"/>
  <c r="BF35" i="12" s="1"/>
  <c r="BD34" i="12"/>
  <c r="BF34" i="12" s="1"/>
  <c r="BH34" i="12" s="1"/>
  <c r="AU33" i="12"/>
  <c r="AS33" i="12"/>
  <c r="AQ33" i="12"/>
  <c r="AO33" i="12"/>
  <c r="AW33" i="12" s="1"/>
  <c r="AX33" i="12" s="1"/>
  <c r="AK33" i="12"/>
  <c r="AI33" i="12"/>
  <c r="AG33" i="12"/>
  <c r="AE33" i="12"/>
  <c r="AC33" i="12"/>
  <c r="AA33" i="12"/>
  <c r="Y33" i="12"/>
  <c r="AU32" i="12"/>
  <c r="AS32" i="12"/>
  <c r="AQ32" i="12"/>
  <c r="AO32" i="12"/>
  <c r="AK32" i="12"/>
  <c r="AI32" i="12"/>
  <c r="AG32" i="12"/>
  <c r="AE32" i="12"/>
  <c r="AC32" i="12"/>
  <c r="AA32" i="12"/>
  <c r="Y32" i="12"/>
  <c r="Q32" i="12"/>
  <c r="R32" i="12" s="1"/>
  <c r="P32" i="12"/>
  <c r="N32" i="12"/>
  <c r="C32" i="12"/>
  <c r="BI34" i="12" l="1"/>
  <c r="AL32" i="12"/>
  <c r="AM32" i="12" s="1"/>
  <c r="AW32" i="12"/>
  <c r="AX32" i="12" s="1"/>
  <c r="AL33" i="12"/>
  <c r="AM33" i="12" s="1"/>
  <c r="AY33" i="12" s="1"/>
  <c r="AZ33" i="12" s="1"/>
  <c r="AY32" i="12" l="1"/>
  <c r="AZ32" i="12" s="1"/>
  <c r="BA32" i="12" s="1"/>
  <c r="BB32" i="12" s="1"/>
  <c r="BC33" i="12" l="1"/>
  <c r="BE33" i="12" s="1"/>
  <c r="BC32" i="12"/>
  <c r="BE32" i="12" s="1"/>
  <c r="BD33" i="12"/>
  <c r="BF33" i="12" s="1"/>
  <c r="BD32" i="12"/>
  <c r="BF32" i="12" s="1"/>
  <c r="BH32" i="12" s="1"/>
  <c r="BG32" i="12" l="1"/>
  <c r="BI32" i="12" s="1"/>
  <c r="AU31" i="12"/>
  <c r="AS31" i="12"/>
  <c r="AQ31" i="12"/>
  <c r="AO31" i="12"/>
  <c r="AW31" i="12" s="1"/>
  <c r="AX31" i="12" s="1"/>
  <c r="AK31" i="12"/>
  <c r="AI31" i="12"/>
  <c r="AG31" i="12"/>
  <c r="AE31" i="12"/>
  <c r="AC31" i="12"/>
  <c r="AA31" i="12"/>
  <c r="Y31" i="12"/>
  <c r="AU30" i="12"/>
  <c r="AS30" i="12"/>
  <c r="AQ30" i="12"/>
  <c r="AO30" i="12"/>
  <c r="AK30" i="12"/>
  <c r="AI30" i="12"/>
  <c r="AG30" i="12"/>
  <c r="AE30" i="12"/>
  <c r="AC30" i="12"/>
  <c r="AA30" i="12"/>
  <c r="Y30" i="12"/>
  <c r="Q30" i="12"/>
  <c r="R30" i="12" s="1"/>
  <c r="P30" i="12"/>
  <c r="N30" i="12"/>
  <c r="C30" i="12"/>
  <c r="AW30" i="12" l="1"/>
  <c r="AX30" i="12" s="1"/>
  <c r="AL31" i="12"/>
  <c r="AM31" i="12" s="1"/>
  <c r="AY31" i="12" s="1"/>
  <c r="AZ31" i="12" s="1"/>
  <c r="AL30" i="12"/>
  <c r="AM30" i="12" s="1"/>
  <c r="AY30" i="12" l="1"/>
  <c r="AZ30" i="12" s="1"/>
  <c r="BA30" i="12" s="1"/>
  <c r="BB30" i="12" s="1"/>
  <c r="BD31" i="12" s="1"/>
  <c r="BF31" i="12" s="1"/>
  <c r="BC30" i="12" l="1"/>
  <c r="BE30" i="12" s="1"/>
  <c r="BC31" i="12"/>
  <c r="BE31" i="12" s="1"/>
  <c r="BD30" i="12"/>
  <c r="BF30" i="12" s="1"/>
  <c r="BH30" i="12" s="1"/>
  <c r="BG30" i="12" l="1"/>
  <c r="BI30" i="12" s="1"/>
  <c r="AU29" i="12"/>
  <c r="AS29" i="12"/>
  <c r="AQ29" i="12"/>
  <c r="AO29" i="12"/>
  <c r="AK29" i="12"/>
  <c r="AI29" i="12"/>
  <c r="AG29" i="12"/>
  <c r="AE29" i="12"/>
  <c r="AC29" i="12"/>
  <c r="AA29" i="12"/>
  <c r="Y29" i="12"/>
  <c r="AU28" i="12"/>
  <c r="AS28" i="12"/>
  <c r="AQ28" i="12"/>
  <c r="AO28" i="12"/>
  <c r="AW28" i="12" s="1"/>
  <c r="AX28" i="12" s="1"/>
  <c r="AK28" i="12"/>
  <c r="AI28" i="12"/>
  <c r="AG28" i="12"/>
  <c r="AE28" i="12"/>
  <c r="AC28" i="12"/>
  <c r="AA28" i="12"/>
  <c r="Y28" i="12"/>
  <c r="Q28" i="12"/>
  <c r="R28" i="12" s="1"/>
  <c r="P28" i="12"/>
  <c r="N28" i="12"/>
  <c r="C28" i="12"/>
  <c r="AU27" i="12"/>
  <c r="AS27" i="12"/>
  <c r="AQ27" i="12"/>
  <c r="AO27" i="12"/>
  <c r="AK27" i="12"/>
  <c r="AI27" i="12"/>
  <c r="AG27" i="12"/>
  <c r="AE27" i="12"/>
  <c r="AC27" i="12"/>
  <c r="AA27" i="12"/>
  <c r="Y27" i="12"/>
  <c r="AU26" i="12"/>
  <c r="AS26" i="12"/>
  <c r="AQ26" i="12"/>
  <c r="AO26" i="12"/>
  <c r="AK26" i="12"/>
  <c r="AI26" i="12"/>
  <c r="AG26" i="12"/>
  <c r="AE26" i="12"/>
  <c r="AC26" i="12"/>
  <c r="AA26" i="12"/>
  <c r="Y26" i="12"/>
  <c r="Q26" i="12"/>
  <c r="R26" i="12" s="1"/>
  <c r="P26" i="12"/>
  <c r="N26" i="12"/>
  <c r="C26" i="12"/>
  <c r="AL26" i="12" l="1"/>
  <c r="AM26" i="12" s="1"/>
  <c r="AL27" i="12"/>
  <c r="AM27" i="12" s="1"/>
  <c r="AW27" i="12"/>
  <c r="AX27" i="12" s="1"/>
  <c r="AW26" i="12"/>
  <c r="AX26" i="12" s="1"/>
  <c r="AY26" i="12" s="1"/>
  <c r="AZ26" i="12" s="1"/>
  <c r="AL28" i="12"/>
  <c r="AM28" i="12" s="1"/>
  <c r="AY28" i="12" s="1"/>
  <c r="AZ28" i="12" s="1"/>
  <c r="AL29" i="12"/>
  <c r="AM29" i="12" s="1"/>
  <c r="AW29" i="12"/>
  <c r="AX29" i="12" s="1"/>
  <c r="AY29" i="12" l="1"/>
  <c r="AZ29" i="12" s="1"/>
  <c r="BA28" i="12" s="1"/>
  <c r="BB28" i="12" s="1"/>
  <c r="AY27" i="12"/>
  <c r="AZ27" i="12" s="1"/>
  <c r="BA26" i="12" s="1"/>
  <c r="BB26" i="12" s="1"/>
  <c r="BC27" i="12" l="1"/>
  <c r="BE27" i="12" s="1"/>
  <c r="BC26" i="12"/>
  <c r="BE26" i="12" s="1"/>
  <c r="BD27" i="12"/>
  <c r="BF27" i="12" s="1"/>
  <c r="BD26" i="12"/>
  <c r="BF26" i="12" s="1"/>
  <c r="BH26" i="12" s="1"/>
  <c r="BD28" i="12"/>
  <c r="BF28" i="12" s="1"/>
  <c r="BC29" i="12"/>
  <c r="BE29" i="12" s="1"/>
  <c r="BC28" i="12"/>
  <c r="BE28" i="12" s="1"/>
  <c r="BD29" i="12"/>
  <c r="BF29" i="12" s="1"/>
  <c r="BG26" i="12"/>
  <c r="BI26" i="12" l="1"/>
  <c r="BG28" i="12"/>
  <c r="BH28" i="12"/>
  <c r="AU25" i="12"/>
  <c r="AS25" i="12"/>
  <c r="AQ25" i="12"/>
  <c r="AO25" i="12"/>
  <c r="AK25" i="12"/>
  <c r="AI25" i="12"/>
  <c r="AG25" i="12"/>
  <c r="AE25" i="12"/>
  <c r="AC25" i="12"/>
  <c r="AA25" i="12"/>
  <c r="Y25" i="12"/>
  <c r="AU24" i="12"/>
  <c r="AS24" i="12"/>
  <c r="AQ24" i="12"/>
  <c r="AO24" i="12"/>
  <c r="AK24" i="12"/>
  <c r="AI24" i="12"/>
  <c r="AG24" i="12"/>
  <c r="AE24" i="12"/>
  <c r="AC24" i="12"/>
  <c r="AA24" i="12"/>
  <c r="Y24" i="12"/>
  <c r="AL24" i="12" s="1"/>
  <c r="AM24" i="12" s="1"/>
  <c r="Q24" i="12"/>
  <c r="R24" i="12" s="1"/>
  <c r="P24" i="12"/>
  <c r="N24" i="12"/>
  <c r="C24" i="12"/>
  <c r="AU23" i="12"/>
  <c r="AS23" i="12"/>
  <c r="AQ23" i="12"/>
  <c r="AO23" i="12"/>
  <c r="AW23" i="12" s="1"/>
  <c r="AX23" i="12" s="1"/>
  <c r="AK23" i="12"/>
  <c r="AI23" i="12"/>
  <c r="AG23" i="12"/>
  <c r="AE23" i="12"/>
  <c r="AC23" i="12"/>
  <c r="AA23" i="12"/>
  <c r="Y23" i="12"/>
  <c r="AU22" i="12"/>
  <c r="AS22" i="12"/>
  <c r="AQ22" i="12"/>
  <c r="AO22" i="12"/>
  <c r="AK22" i="12"/>
  <c r="AI22" i="12"/>
  <c r="AG22" i="12"/>
  <c r="AE22" i="12"/>
  <c r="AC22" i="12"/>
  <c r="AA22" i="12"/>
  <c r="Y22" i="12"/>
  <c r="Q22" i="12"/>
  <c r="R22" i="12" s="1"/>
  <c r="P22" i="12"/>
  <c r="N22" i="12"/>
  <c r="C22" i="12"/>
  <c r="AL22" i="12" l="1"/>
  <c r="AM22" i="12" s="1"/>
  <c r="AW22" i="12"/>
  <c r="AX22" i="12" s="1"/>
  <c r="AL23" i="12"/>
  <c r="AM23" i="12" s="1"/>
  <c r="AY23" i="12" s="1"/>
  <c r="AZ23" i="12" s="1"/>
  <c r="AW25" i="12"/>
  <c r="AX25" i="12" s="1"/>
  <c r="AW24" i="12"/>
  <c r="AX24" i="12" s="1"/>
  <c r="AY24" i="12" s="1"/>
  <c r="AZ24" i="12" s="1"/>
  <c r="AL25" i="12"/>
  <c r="AM25" i="12" s="1"/>
  <c r="BI28" i="12"/>
  <c r="BM24" i="12"/>
  <c r="BL24" i="12"/>
  <c r="BJ24" i="12"/>
  <c r="BK24" i="12"/>
  <c r="AY25" i="12"/>
  <c r="AZ25" i="12" s="1"/>
  <c r="AY22" i="12"/>
  <c r="AZ22" i="12" s="1"/>
  <c r="BA22" i="12" s="1"/>
  <c r="BB22" i="12" s="1"/>
  <c r="BA24" i="12" l="1"/>
  <c r="BB24" i="12" s="1"/>
  <c r="BD23" i="12"/>
  <c r="BF23" i="12" s="1"/>
  <c r="BD22" i="12"/>
  <c r="BF22" i="12" s="1"/>
  <c r="BC23" i="12"/>
  <c r="BE23" i="12" s="1"/>
  <c r="BC22" i="12"/>
  <c r="BE22" i="12" s="1"/>
  <c r="BD25" i="12"/>
  <c r="BF25" i="12" s="1"/>
  <c r="BD24" i="12"/>
  <c r="BF24" i="12" s="1"/>
  <c r="BC25" i="12"/>
  <c r="BE25" i="12" s="1"/>
  <c r="BC24" i="12"/>
  <c r="BE24" i="12" s="1"/>
  <c r="BH24" i="12" l="1"/>
  <c r="BH22" i="12"/>
  <c r="BG24" i="12"/>
  <c r="BG22" i="12"/>
  <c r="BI22" i="12" s="1"/>
  <c r="BI24" i="12" l="1"/>
  <c r="AU21" i="12"/>
  <c r="AS21" i="12"/>
  <c r="AQ21" i="12"/>
  <c r="AO21" i="12"/>
  <c r="AK21" i="12"/>
  <c r="AI21" i="12"/>
  <c r="AG21" i="12"/>
  <c r="AE21" i="12"/>
  <c r="AC21" i="12"/>
  <c r="AA21" i="12"/>
  <c r="Y21" i="12"/>
  <c r="AU20" i="12"/>
  <c r="AS20" i="12"/>
  <c r="AQ20" i="12"/>
  <c r="AO20" i="12"/>
  <c r="AW20" i="12" s="1"/>
  <c r="AX20" i="12" s="1"/>
  <c r="AK20" i="12"/>
  <c r="AI20" i="12"/>
  <c r="AG20" i="12"/>
  <c r="AE20" i="12"/>
  <c r="AC20" i="12"/>
  <c r="AA20" i="12"/>
  <c r="Y20" i="12"/>
  <c r="Q20" i="12"/>
  <c r="R20" i="12" s="1"/>
  <c r="BJ20" i="12" s="1"/>
  <c r="P20" i="12"/>
  <c r="N20" i="12"/>
  <c r="C20" i="12"/>
  <c r="AU19" i="12"/>
  <c r="AS19" i="12"/>
  <c r="AQ19" i="12"/>
  <c r="AO19" i="12"/>
  <c r="AW19" i="12" s="1"/>
  <c r="AX19" i="12" s="1"/>
  <c r="AK19" i="12"/>
  <c r="AI19" i="12"/>
  <c r="AG19" i="12"/>
  <c r="AE19" i="12"/>
  <c r="AC19" i="12"/>
  <c r="AA19" i="12"/>
  <c r="Y19" i="12"/>
  <c r="AU18" i="12"/>
  <c r="AS18" i="12"/>
  <c r="AQ18" i="12"/>
  <c r="AO18" i="12"/>
  <c r="AK18" i="12"/>
  <c r="AI18" i="12"/>
  <c r="AG18" i="12"/>
  <c r="AE18" i="12"/>
  <c r="AC18" i="12"/>
  <c r="AA18" i="12"/>
  <c r="Y18" i="12"/>
  <c r="Q18" i="12"/>
  <c r="R18" i="12" s="1"/>
  <c r="BJ18" i="12" s="1"/>
  <c r="P18" i="12"/>
  <c r="N18" i="12"/>
  <c r="C18" i="12"/>
  <c r="AL20" i="12" l="1"/>
  <c r="AM20" i="12" s="1"/>
  <c r="AY20" i="12" s="1"/>
  <c r="AZ20" i="12" s="1"/>
  <c r="AL18" i="12"/>
  <c r="AM18" i="12" s="1"/>
  <c r="AW18" i="12"/>
  <c r="AX18" i="12" s="1"/>
  <c r="AY18" i="12" s="1"/>
  <c r="AZ18" i="12" s="1"/>
  <c r="AL21" i="12"/>
  <c r="AM21" i="12" s="1"/>
  <c r="AL19" i="12"/>
  <c r="AM19" i="12" s="1"/>
  <c r="AY19" i="12" s="1"/>
  <c r="AZ19" i="12" s="1"/>
  <c r="AW21" i="12"/>
  <c r="AX21" i="12" s="1"/>
  <c r="BK18" i="12"/>
  <c r="BK20" i="12"/>
  <c r="BL18" i="12"/>
  <c r="BL20" i="12"/>
  <c r="BM18" i="12"/>
  <c r="BM20" i="12"/>
  <c r="AY21" i="12" l="1"/>
  <c r="AZ21" i="12" s="1"/>
  <c r="BA20" i="12" s="1"/>
  <c r="BB20" i="12" s="1"/>
  <c r="BC21" i="12" s="1"/>
  <c r="BE21" i="12" s="1"/>
  <c r="BA18" i="12"/>
  <c r="BB18" i="12" s="1"/>
  <c r="BD19" i="12"/>
  <c r="BF19" i="12" s="1"/>
  <c r="BD18" i="12"/>
  <c r="BF18" i="12" s="1"/>
  <c r="BH18" i="12" s="1"/>
  <c r="BC19" i="12"/>
  <c r="BE19" i="12" s="1"/>
  <c r="BC18" i="12"/>
  <c r="BE18" i="12" s="1"/>
  <c r="BD21" i="12"/>
  <c r="BF21" i="12" s="1"/>
  <c r="BD20" i="12"/>
  <c r="BF20" i="12" s="1"/>
  <c r="BH20" i="12" s="1"/>
  <c r="BC20" i="12"/>
  <c r="BE20" i="12" s="1"/>
  <c r="BG18" i="12" l="1"/>
  <c r="BI18" i="12" s="1"/>
  <c r="BG20" i="12"/>
  <c r="BI20" i="12" s="1"/>
  <c r="AU17" i="12" l="1"/>
  <c r="AS17" i="12"/>
  <c r="AQ17" i="12"/>
  <c r="AO17" i="12"/>
  <c r="AK17" i="12"/>
  <c r="AI17" i="12"/>
  <c r="AG17" i="12"/>
  <c r="AE17" i="12"/>
  <c r="AC17" i="12"/>
  <c r="AA17" i="12"/>
  <c r="Y17" i="12"/>
  <c r="AU16" i="12"/>
  <c r="AS16" i="12"/>
  <c r="AQ16" i="12"/>
  <c r="AO16" i="12"/>
  <c r="AK16" i="12"/>
  <c r="AI16" i="12"/>
  <c r="AG16" i="12"/>
  <c r="AE16" i="12"/>
  <c r="AC16" i="12"/>
  <c r="AA16" i="12"/>
  <c r="Y16" i="12"/>
  <c r="Q16" i="12"/>
  <c r="R16" i="12" s="1"/>
  <c r="BJ16" i="12" s="1"/>
  <c r="P16" i="12"/>
  <c r="N16" i="12"/>
  <c r="C16" i="12"/>
  <c r="AU15" i="12"/>
  <c r="AS15" i="12"/>
  <c r="AQ15" i="12"/>
  <c r="AO15" i="12"/>
  <c r="AK15" i="12"/>
  <c r="AI15" i="12"/>
  <c r="AG15" i="12"/>
  <c r="AE15" i="12"/>
  <c r="AC15" i="12"/>
  <c r="AA15" i="12"/>
  <c r="Y15" i="12"/>
  <c r="AU14" i="12"/>
  <c r="AS14" i="12"/>
  <c r="AQ14" i="12"/>
  <c r="AO14" i="12"/>
  <c r="AK14" i="12"/>
  <c r="AI14" i="12"/>
  <c r="AG14" i="12"/>
  <c r="AE14" i="12"/>
  <c r="AC14" i="12"/>
  <c r="AA14" i="12"/>
  <c r="Y14" i="12"/>
  <c r="Q14" i="12"/>
  <c r="R14" i="12" s="1"/>
  <c r="BJ14" i="12" s="1"/>
  <c r="P14" i="12"/>
  <c r="N14" i="12"/>
  <c r="C14" i="12"/>
  <c r="AL14" i="12" l="1"/>
  <c r="AM14" i="12" s="1"/>
  <c r="AL16" i="12"/>
  <c r="AM16" i="12" s="1"/>
  <c r="AL17" i="12"/>
  <c r="AM17" i="12" s="1"/>
  <c r="AL15" i="12"/>
  <c r="AM15" i="12" s="1"/>
  <c r="AW17" i="12"/>
  <c r="AX17" i="12" s="1"/>
  <c r="AY17" i="12" s="1"/>
  <c r="AZ17" i="12" s="1"/>
  <c r="AW15" i="12"/>
  <c r="AX15" i="12" s="1"/>
  <c r="AW16" i="12"/>
  <c r="AX16" i="12" s="1"/>
  <c r="AY16" i="12" s="1"/>
  <c r="AZ16" i="12" s="1"/>
  <c r="AW14" i="12"/>
  <c r="AX14" i="12" s="1"/>
  <c r="AY14" i="12" s="1"/>
  <c r="AZ14" i="12" s="1"/>
  <c r="BK16" i="12"/>
  <c r="BM14" i="12"/>
  <c r="BM16" i="12"/>
  <c r="BK14" i="12"/>
  <c r="BL14" i="12"/>
  <c r="BL16" i="12"/>
  <c r="BA16" i="12" l="1"/>
  <c r="BB16" i="12" s="1"/>
  <c r="BD16" i="12" s="1"/>
  <c r="BF16" i="12" s="1"/>
  <c r="AY15" i="12"/>
  <c r="AZ15" i="12" s="1"/>
  <c r="BA14" i="12" s="1"/>
  <c r="BB14" i="12" s="1"/>
  <c r="BC14" i="12" s="1"/>
  <c r="BE14" i="12" s="1"/>
  <c r="BC16" i="12"/>
  <c r="BE16" i="12" s="1"/>
  <c r="BD17" i="12" l="1"/>
  <c r="BF17" i="12" s="1"/>
  <c r="BC17" i="12"/>
  <c r="BE17" i="12" s="1"/>
  <c r="BG16" i="12" s="1"/>
  <c r="BC15" i="12"/>
  <c r="BE15" i="12" s="1"/>
  <c r="BG14" i="12" s="1"/>
  <c r="BD14" i="12"/>
  <c r="BF14" i="12" s="1"/>
  <c r="BD15" i="12"/>
  <c r="BF15" i="12" s="1"/>
  <c r="BH16" i="12"/>
  <c r="BH14" i="12"/>
  <c r="BI16" i="12" l="1"/>
  <c r="BI14" i="12"/>
  <c r="AU13" i="12"/>
  <c r="AS13" i="12"/>
  <c r="AQ13" i="12"/>
  <c r="AO13" i="12"/>
  <c r="AW13" i="12" s="1"/>
  <c r="AX13" i="12" s="1"/>
  <c r="AK13" i="12"/>
  <c r="AI13" i="12"/>
  <c r="AG13" i="12"/>
  <c r="AE13" i="12"/>
  <c r="AC13" i="12"/>
  <c r="AA13" i="12"/>
  <c r="Y13" i="12"/>
  <c r="Q13" i="12"/>
  <c r="R13" i="12" s="1"/>
  <c r="P13" i="12"/>
  <c r="N13" i="12"/>
  <c r="C13" i="12"/>
  <c r="AL13" i="12" l="1"/>
  <c r="AM13" i="12" s="1"/>
  <c r="AY13" i="12" s="1"/>
  <c r="AZ13" i="12" s="1"/>
  <c r="BA13" i="12" s="1"/>
  <c r="BB13" i="12" s="1"/>
  <c r="BC13" i="12" s="1"/>
  <c r="BE13" i="12" s="1"/>
  <c r="BG13" i="12" s="1"/>
  <c r="BM13" i="12"/>
  <c r="BL13" i="12"/>
  <c r="BK13" i="12"/>
  <c r="BJ13" i="12"/>
  <c r="BD13" i="12" l="1"/>
  <c r="BF13" i="12" s="1"/>
  <c r="BH13" i="12" s="1"/>
  <c r="BI13" i="12" s="1"/>
  <c r="AU12" i="12" l="1"/>
  <c r="AS12" i="12"/>
  <c r="AQ12" i="12"/>
  <c r="AO12" i="12"/>
  <c r="AK12" i="12"/>
  <c r="AI12" i="12"/>
  <c r="AG12" i="12"/>
  <c r="AE12" i="12"/>
  <c r="AC12" i="12"/>
  <c r="AA12" i="12"/>
  <c r="Y12" i="12"/>
  <c r="Q12" i="12"/>
  <c r="R12" i="12" s="1"/>
  <c r="P12" i="12"/>
  <c r="N12" i="12"/>
  <c r="C12" i="12"/>
  <c r="AW12" i="12" l="1"/>
  <c r="AX12" i="12" s="1"/>
  <c r="AL12" i="12"/>
  <c r="AM12" i="12" s="1"/>
  <c r="AY12" i="12" s="1"/>
  <c r="AZ12" i="12" s="1"/>
  <c r="BA12" i="12" s="1"/>
  <c r="BB12" i="12" s="1"/>
  <c r="BM12" i="12"/>
  <c r="BJ12" i="12"/>
  <c r="BL12" i="12"/>
  <c r="BK12" i="12"/>
  <c r="BD12" i="12" l="1"/>
  <c r="BF12" i="12" s="1"/>
  <c r="BH12" i="12" s="1"/>
  <c r="BC12" i="12"/>
  <c r="BE12" i="12" s="1"/>
  <c r="BG12" i="12" s="1"/>
  <c r="BI12" i="12" l="1"/>
  <c r="AV11" i="12" l="1"/>
  <c r="AU11" i="12"/>
  <c r="AS11" i="12"/>
  <c r="AQ11" i="12"/>
  <c r="AO11" i="12"/>
  <c r="AK11" i="12"/>
  <c r="AI11" i="12"/>
  <c r="AG11" i="12"/>
  <c r="AE11" i="12"/>
  <c r="AC11" i="12"/>
  <c r="AA11" i="12"/>
  <c r="Y11" i="12"/>
  <c r="AL11" i="12" s="1"/>
  <c r="AM11" i="12" s="1"/>
  <c r="AV10" i="12"/>
  <c r="AU10" i="12"/>
  <c r="AS10" i="12"/>
  <c r="AQ10" i="12"/>
  <c r="AO10" i="12"/>
  <c r="AK10" i="12"/>
  <c r="AI10" i="12"/>
  <c r="AG10" i="12"/>
  <c r="AE10" i="12"/>
  <c r="AC10" i="12"/>
  <c r="AA10" i="12"/>
  <c r="Y10" i="12"/>
  <c r="AL10" i="12" s="1"/>
  <c r="AM10" i="12" s="1"/>
  <c r="AV9" i="12"/>
  <c r="AU9" i="12"/>
  <c r="AS9" i="12"/>
  <c r="AQ9" i="12"/>
  <c r="AO9" i="12"/>
  <c r="AK9" i="12"/>
  <c r="AI9" i="12"/>
  <c r="AG9" i="12"/>
  <c r="AE9" i="12"/>
  <c r="AC9" i="12"/>
  <c r="AA9" i="12"/>
  <c r="Y9" i="12"/>
  <c r="R9" i="12"/>
  <c r="P9" i="12"/>
  <c r="N9" i="12"/>
  <c r="C9" i="12"/>
  <c r="AL9" i="12" l="1"/>
  <c r="AM9" i="12" s="1"/>
  <c r="AW9" i="12"/>
  <c r="AX9" i="12" s="1"/>
  <c r="AW10" i="12"/>
  <c r="AX10" i="12" s="1"/>
  <c r="AY10" i="12" s="1"/>
  <c r="AZ10" i="12" s="1"/>
  <c r="AW11" i="12"/>
  <c r="AX11" i="12" s="1"/>
  <c r="AY11" i="12" s="1"/>
  <c r="AZ11" i="12" s="1"/>
  <c r="AY9" i="12" l="1"/>
  <c r="AZ9" i="12" s="1"/>
  <c r="BA9" i="12" s="1"/>
  <c r="BB9" i="12" s="1"/>
  <c r="BC11" i="12" l="1"/>
  <c r="BE11" i="12" s="1"/>
  <c r="BD10" i="12"/>
  <c r="BF10" i="12" s="1"/>
  <c r="BC10" i="12"/>
  <c r="BE10" i="12" s="1"/>
  <c r="BD9" i="12"/>
  <c r="BF9" i="12" s="1"/>
  <c r="BD11" i="12"/>
  <c r="BF11" i="12" s="1"/>
  <c r="BC9" i="12"/>
  <c r="BE9" i="12" s="1"/>
  <c r="BG9" i="12" s="1"/>
  <c r="BH9" i="12"/>
  <c r="AS8" i="12"/>
  <c r="AS7" i="12"/>
  <c r="AQ8" i="12"/>
  <c r="AQ7" i="12"/>
  <c r="AO8" i="12"/>
  <c r="AO7" i="12"/>
  <c r="AU8" i="12" l="1"/>
  <c r="AU7" i="12"/>
  <c r="AW7" i="12" l="1"/>
  <c r="AX7" i="12" s="1"/>
  <c r="AW8" i="12"/>
  <c r="AX8" i="12" s="1"/>
  <c r="AK8" i="12" l="1"/>
  <c r="AK7" i="12"/>
  <c r="Q7" i="12"/>
  <c r="R7" i="12" s="1"/>
  <c r="P7" i="12"/>
  <c r="N7" i="12"/>
  <c r="C7" i="12"/>
  <c r="B19" i="11"/>
  <c r="BM7" i="12" l="1"/>
  <c r="BL7" i="12"/>
  <c r="BK7" i="12"/>
  <c r="BJ7" i="12"/>
  <c r="AL8" i="12"/>
  <c r="AM8" i="12" s="1"/>
  <c r="AL7" i="12"/>
  <c r="AM7" i="12" l="1"/>
  <c r="U4" i="7" l="1"/>
  <c r="U5" i="7"/>
  <c r="U6" i="7"/>
  <c r="U7" i="7"/>
  <c r="U8" i="7"/>
  <c r="U9" i="7"/>
  <c r="U10" i="7"/>
  <c r="U11" i="7"/>
  <c r="U3" i="7"/>
  <c r="AY8" i="12" l="1"/>
  <c r="AZ8" i="12" s="1"/>
  <c r="AY7" i="12"/>
  <c r="AZ7" i="12" s="1"/>
  <c r="BA7" i="12" l="1"/>
  <c r="BB7" i="12" s="1"/>
  <c r="BC7" i="12" s="1"/>
  <c r="BE7" i="12" s="1"/>
  <c r="BD8" i="12" l="1"/>
  <c r="BF8" i="12" s="1"/>
  <c r="BD7" i="12"/>
  <c r="BF7" i="12" s="1"/>
  <c r="BC8" i="12"/>
  <c r="BE8" i="12" s="1"/>
  <c r="BG7" i="12" s="1"/>
  <c r="BH7" i="12" l="1"/>
  <c r="BI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DIGITAL EXITO</author>
    <author>Usuario de Windows</author>
  </authors>
  <commentList>
    <comment ref="BJ4" authorId="0" shapeId="0" xr:uid="{00000000-0006-0000-0200-00000100000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xr:uid="{00000000-0006-0000-0200-000002000000}">
      <text>
        <r>
          <rPr>
            <b/>
            <sz val="16"/>
            <color indexed="81"/>
            <rFont val="Tahoma"/>
            <family val="2"/>
          </rPr>
          <t xml:space="preserve">MJD:
</t>
        </r>
        <r>
          <rPr>
            <sz val="16"/>
            <color indexed="81"/>
            <rFont val="Tahoma"/>
            <family val="2"/>
          </rPr>
          <t>Remitirse a la pestaña Probabilidad Seguridad Informac</t>
        </r>
      </text>
    </comment>
    <comment ref="O6" authorId="1" shapeId="0" xr:uid="{00000000-0006-0000-0200-00000300000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xr:uid="{00000000-0006-0000-0200-00000400000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xr:uid="{00000000-0006-0000-0200-00000500000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xr:uid="{00000000-0006-0000-0200-00000600000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<sst xmlns="http://schemas.openxmlformats.org/spreadsheetml/2006/main" count="3031" uniqueCount="621">
  <si>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</si>
  <si>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</si>
  <si>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</si>
  <si>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</si>
  <si>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</si>
  <si>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</si>
  <si>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</si>
  <si>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</si>
  <si>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</si>
  <si>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</si>
  <si>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</si>
  <si>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</si>
  <si>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</si>
  <si>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</si>
  <si>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Gestión del Conocimiento y la Innovación</t>
  </si>
  <si>
    <t>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t>
  </si>
  <si>
    <t>Riesgo Estratégico</t>
  </si>
  <si>
    <t>Interna</t>
  </si>
  <si>
    <t>Raro</t>
  </si>
  <si>
    <t>Insignificante</t>
  </si>
  <si>
    <t>Aceptar el Riesgo</t>
  </si>
  <si>
    <t>Preventivo</t>
  </si>
  <si>
    <t>Rara Vez</t>
  </si>
  <si>
    <t>Rara vezInsignificante</t>
  </si>
  <si>
    <t>Bajo</t>
  </si>
  <si>
    <t>Asumir el riesgo</t>
  </si>
  <si>
    <t>Fuerte</t>
  </si>
  <si>
    <r>
      <t>1. </t>
    </r>
    <r>
      <rPr>
        <sz val="9"/>
        <color rgb="FF212529"/>
        <rFont val="Arial"/>
        <family val="2"/>
      </rPr>
      <t>Fortalecer el sistema de justicia para que sea accesible, oportuno y cercano al ciudadano.</t>
    </r>
  </si>
  <si>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</si>
  <si>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</si>
  <si>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</si>
  <si>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</si>
  <si>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</si>
  <si>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</si>
  <si>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</si>
  <si>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</si>
  <si>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</si>
  <si>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</si>
  <si>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</si>
  <si>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r>
      <t>2. </t>
    </r>
    <r>
      <rPr>
        <sz val="9"/>
        <color rgb="FF212529"/>
        <rFont val="Arial"/>
        <family val="2"/>
      </rPr>
      <t>Formular y coordinar la política pública en materia de justicia transicional, en el marco de la reconciliación nacional.</t>
    </r>
  </si>
  <si>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</si>
  <si>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</si>
  <si>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</si>
  <si>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</si>
  <si>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</si>
  <si>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</si>
  <si>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</si>
  <si>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</si>
  <si>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</si>
  <si>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</si>
  <si>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r>
      <t>3. </t>
    </r>
    <r>
      <rPr>
        <sz val="9"/>
        <color rgb="FF212529"/>
        <rFont val="Arial"/>
        <family val="2"/>
      </rPr>
      <t>Liderar la formulación, implementación y seguimiento de las políticas en materia criminal y penitenciaria</t>
    </r>
  </si>
  <si>
    <t>Mejora Integral de la Gestión Institucional</t>
  </si>
  <si>
    <t xml:space="preserve"> Coordinar y administrar la implementación del Sistema Integrado de Gestión del Ministerio de Justicia y de Derecho, con el fin de asegurar su mejora continua, conveniencia, eficacia y eficiencia conforme con los estándares adoptados</t>
  </si>
  <si>
    <t>Riesgo de Cumplimiento</t>
  </si>
  <si>
    <t>Probable</t>
  </si>
  <si>
    <t>Mayor</t>
  </si>
  <si>
    <t>Reducir el Riesgo</t>
  </si>
  <si>
    <t>Rara vezMayor</t>
  </si>
  <si>
    <t>Extremo</t>
  </si>
  <si>
    <t>Evitar el riesgo</t>
  </si>
  <si>
    <r>
      <t>4. </t>
    </r>
    <r>
      <rPr>
        <sz val="9"/>
        <color rgb="FF212529"/>
        <rFont val="Arial"/>
        <family val="2"/>
      </rPr>
      <t>Consolidar la política integral de drogas, su implementación y evaluación.</t>
    </r>
  </si>
  <si>
    <t>Direccionamiento y Planeación Institucional</t>
  </si>
  <si>
    <t>Orientar la gestión del Ministerio de Justicia y del Derecho y de las entidades adscritas para que las acciones se deriven de una  planeación eficiente y articulada que optimice el uso de los recursos en el logro de los objetivos institucionales</t>
  </si>
  <si>
    <t>Riesgo de Tecnología</t>
  </si>
  <si>
    <t>Casi seguro</t>
  </si>
  <si>
    <t>Catastrófico</t>
  </si>
  <si>
    <t>Rara vezCatastrófico</t>
  </si>
  <si>
    <r>
      <t>5. </t>
    </r>
    <r>
      <rPr>
        <sz val="9"/>
        <color rgb="FF212529"/>
        <rFont val="Arial"/>
        <family val="2"/>
      </rPr>
      <t>Afianzar una gestión institucional innovadora y ética, soportada en el desarrollo humano y la participación ciudadana.</t>
    </r>
  </si>
  <si>
    <t>Misional</t>
  </si>
  <si>
    <t>Gestión contra la Criminalidad y la Reincidencia</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</si>
  <si>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</si>
  <si>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Riesgo de Imagen</t>
  </si>
  <si>
    <t>ImprobableInsignificante</t>
  </si>
  <si>
    <t>Formulación y Seguimiento de las Políticas Públicas</t>
  </si>
  <si>
    <t>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t>
  </si>
  <si>
    <t>ImprobableMenor</t>
  </si>
  <si>
    <t>Formulación y Seguimiento de Proyectos Normativos</t>
  </si>
  <si>
    <t>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t>
  </si>
  <si>
    <t>ImprobableModerado</t>
  </si>
  <si>
    <t>Acceso a la Justicia</t>
  </si>
  <si>
    <t>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</si>
  <si>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</si>
  <si>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</si>
  <si>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t>
  </si>
  <si>
    <t>ImprobableCatastrófico</t>
  </si>
  <si>
    <t>Apoyo</t>
  </si>
  <si>
    <t>Gestión Administrativa</t>
  </si>
  <si>
    <t xml:space="preserve"> 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</si>
  <si>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</si>
  <si>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</si>
  <si>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t>
  </si>
  <si>
    <t>PosibleMenor</t>
  </si>
  <si>
    <t>Gestión de las Tecnologías y la Información</t>
  </si>
  <si>
    <t>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</si>
  <si>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</si>
  <si>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</si>
  <si>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</si>
  <si>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</si>
  <si>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</si>
  <si>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t>
  </si>
  <si>
    <t>PosibleCatastrófico</t>
  </si>
  <si>
    <t>Gestión Documental</t>
  </si>
  <si>
    <t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t>
  </si>
  <si>
    <t>ProbableInsignificante</t>
  </si>
  <si>
    <t>Gestión del Talento Humano</t>
  </si>
  <si>
    <t xml:space="preserve"> Liderar y ejecutar las actividades propias de la administración y gestión del talento humano, aplicando la normativa vigente y los procedimientos establecidos en la entidad para contribuir a la consecución de los objtivos institucionales.</t>
  </si>
  <si>
    <t>ProbableMenor</t>
  </si>
  <si>
    <t>Seguimiento y Evaluación</t>
  </si>
  <si>
    <t>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</si>
  <si>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</si>
  <si>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</si>
  <si>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</si>
  <si>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</si>
  <si>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</si>
  <si>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</si>
  <si>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</si>
  <si>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</si>
  <si>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</si>
  <si>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</si>
  <si>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</si>
  <si>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</si>
  <si>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</si>
  <si>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</si>
  <si>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</si>
  <si>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</si>
  <si>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</si>
  <si>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</si>
  <si>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</si>
  <si>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</si>
  <si>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</si>
  <si>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</si>
  <si>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pobreza en colombia</t>
  </si>
  <si>
    <t>hora pico</t>
  </si>
  <si>
    <t>afan</t>
  </si>
  <si>
    <t>Lleves joyas</t>
  </si>
  <si>
    <t>hable por el celular</t>
  </si>
  <si>
    <t>atraco en trasmilenio</t>
  </si>
  <si>
    <t>perdida $$</t>
  </si>
  <si>
    <t>susto</t>
  </si>
  <si>
    <t>perdida de contactos</t>
  </si>
  <si>
    <t>hacer daño fisio, psiclógico</t>
  </si>
  <si>
    <t>incomunidada</t>
  </si>
  <si>
    <t>perder la vida</t>
  </si>
  <si>
    <t>PASOS</t>
  </si>
  <si>
    <t>Componente</t>
  </si>
  <si>
    <t>Ejemplo</t>
  </si>
  <si>
    <t>Paso 1</t>
  </si>
  <si>
    <t>Responsable de llevar a cabo el Control</t>
  </si>
  <si>
    <t>El tesorero, el secretario general y/o el cordinador del grupo de gestión financiera,</t>
  </si>
  <si>
    <t>Paso 2</t>
  </si>
  <si>
    <t>Periodicidad definida para su
ejecución.</t>
  </si>
  <si>
    <t>Cada vez que se requiera realizar un movimiento bancario y</t>
  </si>
  <si>
    <t>Paso 3</t>
  </si>
  <si>
    <t>Indicar cuál es el propósito del control</t>
  </si>
  <si>
    <t>Con el fin de prevenir que los movimientos que se den por ventanilla sean suplantados,</t>
  </si>
  <si>
    <t>Suplantación de representante legal para retiro de dinero de cuentas Bancarias de Minjusticia</t>
  </si>
  <si>
    <t>Paso 4</t>
  </si>
  <si>
    <t>Establecer el cómo se realiza la actividad de control.</t>
  </si>
  <si>
    <t>Todas las solicitudes de débitos o traslados se realizarán mediante oficio con dos firmas de aprobación que se encuentren autorizadas ante la entidad bancaria.</t>
  </si>
  <si>
    <t>Paso 5</t>
  </si>
  <si>
    <t>Indicar qué pasa con las observaciones o desviaciones resultantes de ejecutar el control</t>
  </si>
  <si>
    <t>Si no se cuenta con las dos firmas de aprobación, no se podrá realizar el débito o traslado bancario.</t>
  </si>
  <si>
    <t>Paso 6</t>
  </si>
  <si>
    <t>Evidencia de la ejecución del control</t>
  </si>
  <si>
    <t>Como evidencia queda el oficio radicado ante entidad bancaria con las dos firmas.</t>
  </si>
  <si>
    <t>Paso 7</t>
  </si>
  <si>
    <t>Está en el procedimiento</t>
  </si>
  <si>
    <t>SI</t>
  </si>
  <si>
    <t>Paso 8</t>
  </si>
  <si>
    <t>Si su respuesta es afirmativa, ¿en cuál procedimiento?</t>
  </si>
  <si>
    <t>Manejo de Bienes y Servicios</t>
  </si>
  <si>
    <t>Paso 9</t>
  </si>
  <si>
    <t>Si su respuesta es negativa, ¿en dónde esta documentado el control? Política - Manual - Guía</t>
  </si>
  <si>
    <t>-</t>
  </si>
  <si>
    <t>Control completo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</si>
  <si>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</si>
  <si>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</si>
  <si>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</si>
  <si>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Principios de Seguridad</t>
  </si>
  <si>
    <t>AMENAZAS</t>
  </si>
  <si>
    <t>Confidencialidad</t>
  </si>
  <si>
    <t>Integridad</t>
  </si>
  <si>
    <t>Disponibilidad</t>
  </si>
  <si>
    <t>Acceso no autorizado a los activos de información por personal de la organización</t>
  </si>
  <si>
    <t>Daño físico de activos por polvo, corrosión, incendio, temperaturas elevadas, fenómenos meteorológicos o desastre natural</t>
  </si>
  <si>
    <t>Hurto, falla o sabotaje de activos de información</t>
  </si>
  <si>
    <t>Acceso no autorizado a los activos de información por externos</t>
  </si>
  <si>
    <t>Ciberataques, piratería, acceso abusivo a sistemas informáticos, malware</t>
  </si>
  <si>
    <t xml:space="preserve">Fraude o ataque interno por errores o acciones deliberadas del personal </t>
  </si>
  <si>
    <t>Interceptación de comunicaciones por medios digitales</t>
  </si>
  <si>
    <t>Ataque físico malicioso (explosivos, químicos, vandalismo, radiación electromagnética, entre otros)</t>
  </si>
  <si>
    <t>Suplantación o robo de identidad</t>
  </si>
  <si>
    <t>Actos fraudulentos (ingeniería social, suplantación, fraude,  soborno, extorsión, suplantación, entre otros)</t>
  </si>
  <si>
    <t>RIESGOS</t>
  </si>
  <si>
    <t>CONFIDENCIALIDAD</t>
  </si>
  <si>
    <t>INTEGRIDAD</t>
  </si>
  <si>
    <t>DISPONIBILIDAD</t>
  </si>
  <si>
    <t>Pérdida de confidencialidad</t>
  </si>
  <si>
    <t>Pérdida de integridad</t>
  </si>
  <si>
    <t>Pérdida de disponibilidad</t>
  </si>
  <si>
    <t>VULNERABILIDADES</t>
  </si>
  <si>
    <t>CONFIDENCIALIDAD_</t>
  </si>
  <si>
    <t>INTEGRIDAD_</t>
  </si>
  <si>
    <t>DISPONIBILIDAD_</t>
  </si>
  <si>
    <t>Divulgación no autorizada por mal uso de los activos de información clasificada o reservada</t>
  </si>
  <si>
    <t>Condiciones ambientales inadecuadas en el centro de cómputo</t>
  </si>
  <si>
    <t>Fallas, deficiencias o desactualización de la infraestructura tecnológica</t>
  </si>
  <si>
    <t>Inadecuada protección de la información por parte de proveedores o aliado</t>
  </si>
  <si>
    <t>Falla, desactualización, código inseguro o corrupción del software</t>
  </si>
  <si>
    <t>Alta dependencia de proveedores de servicios de TI</t>
  </si>
  <si>
    <t>Acceso no restringido a las áreas o instalaciones críticas</t>
  </si>
  <si>
    <t>Deficiencias u omisiones de personal crítico para la operación y/o la seguridad de la información</t>
  </si>
  <si>
    <t>CONSECUENCIAS</t>
  </si>
  <si>
    <t>Pérdida económica</t>
  </si>
  <si>
    <t>Impacto reputacional</t>
  </si>
  <si>
    <t>Reprocesos o tiempos de recuperación</t>
  </si>
  <si>
    <t>Afectación del servicio al ciudadano</t>
  </si>
  <si>
    <t>Sanciones legales o multas</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</si>
  <si>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</si>
  <si>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</si>
  <si>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</si>
  <si>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</si>
  <si>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</si>
  <si>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</si>
  <si>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</si>
  <si>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</si>
  <si>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</si>
  <si>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</si>
  <si>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</si>
  <si>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</si>
  <si>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</si>
  <si>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</si>
  <si>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</si>
  <si>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</si>
  <si>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</si>
  <si>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</si>
  <si>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</si>
  <si>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</si>
  <si>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</si>
  <si>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</si>
  <si>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</si>
  <si>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</si>
  <si>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</si>
  <si>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</si>
  <si>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</si>
  <si>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</si>
  <si>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</si>
  <si>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</si>
  <si>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</si>
  <si>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</si>
  <si>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</si>
  <si>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</si>
  <si>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</si>
  <si>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</si>
  <si>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</si>
  <si>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</si>
  <si>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</si>
  <si>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</si>
  <si>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</si>
  <si>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</si>
  <si>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</si>
  <si>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</si>
  <si>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</si>
  <si>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</si>
  <si>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</si>
  <si>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</si>
  <si>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</si>
  <si>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</si>
  <si>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</si>
  <si>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</si>
  <si>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</si>
  <si>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</si>
  <si>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</si>
  <si>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</si>
  <si>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</si>
  <si>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</si>
  <si>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</si>
  <si>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</si>
  <si>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</si>
  <si>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</si>
  <si>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</si>
  <si>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</si>
  <si>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</si>
  <si>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</si>
  <si>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</si>
  <si>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</si>
  <si>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</si>
  <si>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</si>
  <si>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</si>
  <si>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</si>
  <si>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</si>
  <si>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</si>
  <si>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</si>
  <si>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</si>
  <si>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</si>
  <si>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</si>
  <si>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</si>
  <si>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</si>
  <si>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</si>
  <si>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</si>
  <si>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</si>
  <si>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</si>
  <si>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</si>
  <si>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</si>
  <si>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</si>
  <si>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</si>
  <si>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</si>
  <si>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</si>
  <si>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</si>
  <si>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</si>
  <si>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</si>
  <si>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</si>
  <si>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</si>
  <si>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</si>
  <si>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</si>
  <si>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</si>
  <si>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</si>
  <si>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</si>
  <si>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</si>
  <si>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</si>
  <si>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</si>
  <si>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</si>
  <si>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</si>
  <si>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</si>
  <si>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</si>
  <si>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</si>
  <si>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</si>
  <si>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</si>
  <si>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</si>
  <si>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</si>
  <si>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</si>
  <si>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</si>
  <si>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</si>
  <si>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</si>
  <si>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</si>
  <si>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</si>
  <si>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</si>
  <si>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</si>
  <si>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</si>
  <si>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</si>
  <si>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</si>
  <si>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</si>
  <si>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</si>
  <si>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</si>
  <si>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</si>
  <si>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</si>
  <si>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</si>
  <si>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</si>
  <si>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</si>
  <si>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</si>
  <si>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</si>
  <si>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</si>
  <si>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</si>
  <si>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</si>
  <si>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</si>
  <si>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</si>
  <si>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</si>
  <si>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</si>
  <si>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</si>
  <si>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</si>
  <si>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</si>
  <si>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</si>
  <si>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</si>
  <si>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</si>
  <si>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</si>
  <si>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</si>
  <si>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</si>
  <si>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</si>
  <si>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</si>
  <si>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</si>
  <si>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</si>
  <si>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</si>
  <si>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</si>
  <si>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</si>
  <si>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</si>
  <si>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</si>
  <si>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</si>
  <si>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</si>
  <si>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</si>
  <si>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</si>
  <si>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</si>
  <si>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</si>
  <si>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</si>
  <si>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</si>
  <si>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</si>
  <si>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</si>
  <si>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</si>
  <si>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</si>
  <si>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</si>
  <si>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</si>
  <si>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</si>
  <si>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</si>
  <si>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</si>
  <si>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</si>
  <si>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</si>
  <si>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</si>
  <si>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</si>
  <si>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</si>
  <si>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</si>
  <si>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</si>
  <si>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</si>
  <si>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</si>
  <si>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Código: F-MC-G04-01
Versión: 6</t>
  </si>
  <si>
    <t>Herramienta de Administración de Riesgos</t>
  </si>
  <si>
    <t>IDENTIFICACIÓN DEL RIESGO</t>
  </si>
  <si>
    <t>MEDIDAS DE RESPUESTA</t>
  </si>
  <si>
    <t>PLAN DE TRATAMIENTO</t>
  </si>
  <si>
    <t>Riesgo Inherente</t>
  </si>
  <si>
    <t>CONTROLES</t>
  </si>
  <si>
    <t>Diseño del Control</t>
  </si>
  <si>
    <t>Solidez Individual de cada Control</t>
  </si>
  <si>
    <t>Solidez del Conjunto de Controles</t>
  </si>
  <si>
    <t>Riesgo Residual</t>
  </si>
  <si>
    <t>N°</t>
  </si>
  <si>
    <t>PROCESO</t>
  </si>
  <si>
    <t>OBJETIVO DEL PROCESO</t>
  </si>
  <si>
    <t>ACTIVO</t>
  </si>
  <si>
    <t>PRINCIPIO DE SEGURIDAD DEL ACTIVO</t>
  </si>
  <si>
    <t>PRINCIPIO DE SEGURIDAD PARA EL RIESGO</t>
  </si>
  <si>
    <t>RIESGO</t>
  </si>
  <si>
    <t>AMENAZA</t>
  </si>
  <si>
    <t>PRINCIPIO DE SEGURIDAD DE LA VULNERABILIDAD</t>
  </si>
  <si>
    <t>VULNERABILIDAD / CAUSA</t>
  </si>
  <si>
    <t>CLASIFICACIÓN DE LA VULNERABILIDAD</t>
  </si>
  <si>
    <t>PROBABILIDAD</t>
  </si>
  <si>
    <t>IMPACTO</t>
  </si>
  <si>
    <t xml:space="preserve">EVALUACIÓN </t>
  </si>
  <si>
    <t>OPCIONES DE MANEJO</t>
  </si>
  <si>
    <t>DOMINIO DEL CONTROL</t>
  </si>
  <si>
    <t>DESCRIPCIÓN DEL CONTROL</t>
  </si>
  <si>
    <t>Vulnerabilidad a reducir</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</si>
  <si>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</si>
  <si>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</si>
  <si>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</si>
  <si>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</si>
  <si>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</si>
  <si>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</si>
  <si>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</si>
  <si>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</si>
  <si>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</si>
  <si>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</si>
  <si>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¿Cuál es la naturaleza del control?</t>
  </si>
  <si>
    <t xml:space="preserve"> ¿Qué nivel de oficialidad tiene el control?</t>
  </si>
  <si>
    <t>¿El control es medible?</t>
  </si>
  <si>
    <t>¿Al momento de realizar las pruebas de recorrido el control ha demostrado ser?</t>
  </si>
  <si>
    <t>Total Ejecución de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</si>
  <si>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</si>
  <si>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</si>
  <si>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</si>
  <si>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</si>
  <si>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</si>
  <si>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</si>
  <si>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</si>
  <si>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Meta</t>
  </si>
  <si>
    <t>Inicio</t>
  </si>
  <si>
    <t>Duración</t>
  </si>
  <si>
    <t>Acción si se materializa</t>
  </si>
  <si>
    <t>Diseñadores y videógrafos</t>
  </si>
  <si>
    <t>El Grupo de Talento Humano o Gestión Contractual realiza la validación de antecedentes e inclusión de claúsulas contractuales y asegura la firma de los compromisos de confidencialidad antes de la vinculación del colaborador, con el fin de establecer las obligaciones con respecto a la seguridad de la información, lo cual se valida mediante los documentos firmados. Si no se cumplen los requisitos no se puede autorizar el ingreso del funcionario o contratación del prestador de servicios.</t>
  </si>
  <si>
    <t>La DTGIJ, STSI y/u Oficial de Seguridad de la Información planea, coordina y/o ejecuta estrategias de socialización, divulgación y sensibilización en temas de seguridad y privacidad de la información, en el marco de la gestión de uso y apropiación de las TIC.</t>
  </si>
  <si>
    <t>Activos críticos de información: 
Hoja de Vida de la persona condenada.
Actas de  la Comisión Intersectorial de Estudio de Solicitudes.
Sesiones de  la Comisión Intersectorial de Estudio de Solicitudes.
Expedientes Repatriación.
Base Date de  Colombianos y Extranjeros Extraditados a Otros Países .
Base de  Datos de  Colombianos Extraditados. 
Expediente Extradiciones de Pasivas.
Expediente Extradiciones de Activas.
Expedientes de  Asistencia Judicial en Materia Penal.
Base de Datos de Asistencia Judicial en materia penal.</t>
  </si>
  <si>
    <t>La Dirección de Asuntos Internacionales identifica, clasifica y divulga anualmente su inventario de activos de información entre todos los colaboradores del área, junto con las recomendaciones de manejo de los activos que contienen información clasificada y deben ser manejados con la aplicación de los controles recomendados por las políticas de seguridad de la información de la entidad. Las inconsistencias o eventos se reportan por casos Aranda a Mesa de Ayuda de TI.</t>
  </si>
  <si>
    <t>Gestionar el proyecto de actualización, soporte y mantenimiento del SIM de manera conjunta con la STSI, DAI y el proveedor de Fábrica de Software.</t>
  </si>
  <si>
    <t>6 meses</t>
  </si>
  <si>
    <t>Si se encuentran fallas en el código o vulnerabilidades en el software, se tomarán las acciones para remediarlas, por parte del equipo de Fábrica de Software, con el seguimiento, pruebas y validación de DAI.</t>
  </si>
  <si>
    <t>Hurto o sabotaje de activos de información</t>
  </si>
  <si>
    <t>Dado que el Sistema de Información Misional SIM se encontraba sin contrato de soporte y mantenimiento, se realizó desde la DTGIJ  y STSI la contratación de la Fábrica de Software con un proveedor externo que realizará las labores de actualización, remediación de vulnerabilidades, soporte, mantenimiento y demás ajustes requeridos en el software misional, con el fin de mitigar la ocurrencia de incidentes que puedan afectar la disponibilidad del sistema de información. Si se presentan incidentes, estos serán reportados por casos Aranda a la Mesa de TI.</t>
  </si>
  <si>
    <t>En los ajustes, actualizaciones y mantenimientos del software misional, la Fábrica de Software cumplirá las buenas prácticas y estándares de desarrollo seguro, de manera que se eviten las brechas o vulnerabilidades posibles en el sistema. Si se presentan incidentes, estos serán reportados por casos Aranda a la Mesa de TI.</t>
  </si>
  <si>
    <t>Activos de criticidad alta con información reservada:
Resoluciones con información restringida</t>
  </si>
  <si>
    <t>Condiciones ambientales inadecuadas o inseguras en el centro de cómputo o archivo</t>
  </si>
  <si>
    <t xml:space="preserve">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y planilla de control de acceso. Si se presentan inconvenientes, se tramitará por parte de la STSI. </t>
  </si>
  <si>
    <t>Activos de criticidad media con información clasificada:
Comprobante de ingreso de almacén
Comprobante salidas de almacén
Actas  del Comité de Inventarios y Baja de Bienes 
Inventarios de Bienes 
Historiales de Vehículos</t>
  </si>
  <si>
    <t xml:space="preserve">El Grupo de Gestión Administrativa coordina y contrata servicios de seguridad físicia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y planilla de control de acceso. Si se presentan inconvenientes, se tramitará por parte de la STSI. </t>
  </si>
  <si>
    <t>Activos críticos con información reservada:
Asistencia a Comités</t>
  </si>
  <si>
    <t>Condiciones ambientales inadecuadas en el centro de cómputo o archivo</t>
  </si>
  <si>
    <t>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y planilla de control de acceso. Si se presentan inconvenientes, se tramitará por parte de la STSI.</t>
  </si>
  <si>
    <t>El Grupo de Gestión Administrativa coordina y contrata servicios de seguridad física y restricción de acceso a las instalaciones, con el fin de proteger los activos de información de la entidad. Así mismo, la dependencia a cargo de los activos debe asegurar la implementación de los controles adicionales requeridos para restringir el acceso a los activos en formato físico que puedan contener información clasificada o reservada, para evitar accesos no autorizados o afectación a la integridad de los mismos.</t>
  </si>
  <si>
    <t xml:space="preserve">Personal crítico para la operación del proceso y/o la seguridad de la información:
Jefe de la OCI
</t>
  </si>
  <si>
    <t>La Oficina de Control Interno identifica , clasifica y divulga anualmente sus activos de información entre todos los colaboradores del área, junto con las recomendaciones de manejo de los activos que contienen información clasificada y reservada, deben ser manejados con la aplicación de los controles recomendados por las políticas de seguridad de la información de la entidad. Las inconsistencias o eventos se reportan por casos Aranda a Mesa de Ayuda de TI.</t>
  </si>
  <si>
    <t>Activos con información clasificada y reservada, en papel:
Queja Reservada
Requerimientos Reservados
Informe respuesta requerimientos
Tutela
Fallo Primera instancia
Impugnación Fallo Primera Instancia
Fallo Segunda Instancia
Fallo de Revisión Corte Constitucional</t>
  </si>
  <si>
    <r>
      <t>La dependencia a cargo de los activos de información, con el apoyo del Grupo de Gestión de Gestión Documental, establece y mantiene permanentemente unas condiciones ambientales adecuadas para la custodia de los activos en medio físico, tanto en el archivo de gestión, como en el archivo central.</t>
    </r>
    <r>
      <rPr>
        <b/>
        <sz val="10"/>
        <color rgb="FF003300"/>
        <rFont val="Arial"/>
        <family val="2"/>
      </rPr>
      <t xml:space="preserve"> Si se presentan condiciones adversas o eventos de deterioro de los documentos</t>
    </r>
    <r>
      <rPr>
        <sz val="10"/>
        <color rgb="FF003300"/>
        <rFont val="Arial"/>
        <family val="2"/>
      </rPr>
      <t>, se reportará al Grupo de Gestión Documental para su solución.</t>
    </r>
  </si>
  <si>
    <t>Designar una persona responsable de garantizar la gestión documental física de la dependencia</t>
  </si>
  <si>
    <t>1 año</t>
  </si>
  <si>
    <t>Si se presenta algún incidente se de reportar y realizar la correspondiente remediación.</t>
  </si>
  <si>
    <r>
      <t xml:space="preserve">El Grupo de Gestión Administrativa coordina y contrata servicios de seguridad física y restricción de acceso a las instalaciones, con el fin de proteger los activos de información de la entidad. Así mismo, la dependencia a cargo de los activos debe asegurar la implementación de los controles adicionales requeridos </t>
    </r>
    <r>
      <rPr>
        <b/>
        <sz val="10"/>
        <color rgb="FF003300"/>
        <rFont val="Arial"/>
        <family val="2"/>
      </rPr>
      <t>para restringir el acceso a los activos en formato físico que puedan contener información clasificada o reservada</t>
    </r>
    <r>
      <rPr>
        <sz val="10"/>
        <color rgb="FF003300"/>
        <rFont val="Arial"/>
        <family val="2"/>
      </rPr>
      <t>, para evitar accesos no autorizados o afectación a la integridad de los mismos.</t>
    </r>
  </si>
  <si>
    <t>Personal crítico para la operación del proceso y/o la seguridad de la información:
*Personal profesional para la administración del Sistema de información de la conciliación, el Arbitraje y la Amigable Composición (SICAAC).
*Personal profesional para la administración del sistema de información de casas de justicia y convivencia ciudadana (SICJCC)
*Profesional profesional para la administración del Sistema de Información de la Conciliación en Equidad (SICEQ)</t>
  </si>
  <si>
    <r>
      <t xml:space="preserve">El Grupo de Talento Humano o Gestión Contractual realiza la validación de antecedentes e inclusión de claúsulas contractuales y asegura </t>
    </r>
    <r>
      <rPr>
        <b/>
        <sz val="10"/>
        <color rgb="FF003300"/>
        <rFont val="Arial"/>
        <family val="2"/>
      </rPr>
      <t>la firma de los compromisos de confidencialidad antes de la vinculación del colaborado</t>
    </r>
    <r>
      <rPr>
        <sz val="10"/>
        <color rgb="FF003300"/>
        <rFont val="Arial"/>
        <family val="2"/>
      </rPr>
      <t>r, con el fin de establecer las obligaciones con respecto a la seguridad de la información, lo cual se valida mediante los documentos firmados. Si no se cumplen los requisitos no se puede autorizar el ingreso del funcionario o contratación del prestador de servicios.</t>
    </r>
  </si>
  <si>
    <r>
      <t xml:space="preserve">La DTGIJ, STSI y/u Oficial de Seguridad de la Información planea, coordina y/o ejecuta </t>
    </r>
    <r>
      <rPr>
        <b/>
        <sz val="10"/>
        <color rgb="FF003300"/>
        <rFont val="Arial"/>
        <family val="2"/>
      </rPr>
      <t>estrategias de socialización, divulgación y sensibilización en temas de seguridad y privacidad de la información</t>
    </r>
    <r>
      <rPr>
        <sz val="10"/>
        <color rgb="FF003300"/>
        <rFont val="Arial"/>
        <family val="2"/>
      </rPr>
      <t>, en el marco de la gestión de uso y apropiación de las TIC.</t>
    </r>
  </si>
  <si>
    <t>Activos con información clasificada:
Banco de iniciativas de pueblos indígenas
Acuerdos con pueblos étnicos/Espacios de diálogos
Información formulación Política Pública
Transversalidad Enfoque MJD</t>
  </si>
  <si>
    <t>La STSI gestiona e implementa mecanismos y herramientas de seguridad perimetral, escaneo y segregación de redes, gestión de vulnerabilidades, gestión y certificados seguros para los sitios y subsitios web, sistemas de información y aplicaciones de la entidad. Los incidentes deben ser reportados por caso Aranda a la Mesa de Ayuda de TI.</t>
  </si>
  <si>
    <t xml:space="preserve">La DTGIJ y STSI Implementarán el Múltiple Factor de Autenticación en las cuentas con acceso privilegiado a la información clasificada y reservada de la entidad. </t>
  </si>
  <si>
    <t>Se genera un caso Aranda a Mesa de Ayuda de TI.</t>
  </si>
  <si>
    <r>
      <rPr>
        <sz val="10"/>
        <color rgb="FF003300"/>
        <rFont val="Arial"/>
        <family val="2"/>
      </rPr>
      <t xml:space="preserve">La Dirección de Justicia Formal identifica, clasifica y </t>
    </r>
    <r>
      <rPr>
        <b/>
        <sz val="10"/>
        <color rgb="FF003300"/>
        <rFont val="Arial"/>
        <family val="2"/>
      </rPr>
      <t>divulga anualmente sus activos de información entre todos los colaboradores del área</t>
    </r>
    <r>
      <rPr>
        <sz val="10"/>
        <color rgb="FF003300"/>
        <rFont val="Arial"/>
        <family val="2"/>
      </rPr>
      <t>,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r>
  </si>
  <si>
    <t>Personal crítico para la operación del proceso y/o la seguridad de la información:
Coodinador Grupo de Fortalecimiento de la Justicia Étnica
Coordinador  Grupo de Comisarías de Familia
Contratistas apoyo técnico a la gestión contractual de la DJF</t>
  </si>
  <si>
    <r>
      <rPr>
        <sz val="10"/>
        <color rgb="FF003300"/>
        <rFont val="Arial"/>
        <family val="2"/>
      </rPr>
      <t xml:space="preserve">El Grupo de Talento Humano o Gestión Contractual realiza la validación de antecedentes e inclusión de claúsulas contractuales y asegura la firma de </t>
    </r>
    <r>
      <rPr>
        <b/>
        <sz val="10"/>
        <color rgb="FF003300"/>
        <rFont val="Arial"/>
        <family val="2"/>
      </rPr>
      <t>los compromisos de confidencialidad</t>
    </r>
    <r>
      <rPr>
        <sz val="10"/>
        <color rgb="FF003300"/>
        <rFont val="Arial"/>
        <family val="2"/>
      </rPr>
      <t xml:space="preserve"> antes de la vinculación del colaborador, con el fin de establecer las obligaciones con respecto a la seguridad de la información, lo cual se valida mediante los documentos firmados. Si no se cumplen los requisitos no se puede autorizar el ingreso del funcionario o contratación del prestador de servicios.</t>
    </r>
  </si>
  <si>
    <t>La DJF solicitará la capacitación y sensibilización en temas de cumplimiento de políticas y controles en manejo de activos de información.
Se implementará un plan de contingencia interno para el manejo de incidentes de pérdida de disponibilidad de la información.</t>
  </si>
  <si>
    <t>3 meses</t>
  </si>
  <si>
    <r>
      <rPr>
        <sz val="10"/>
        <color rgb="FF003300"/>
        <rFont val="Arial"/>
        <family val="2"/>
      </rPr>
      <t xml:space="preserve">La dependencia a cargo de los activos debe garantizar la entrega de la información y gestión del conocimiento relativo a las funciones, obligaciones y responsabilidades </t>
    </r>
    <r>
      <rPr>
        <b/>
        <sz val="10"/>
        <color rgb="FF003300"/>
        <rFont val="Arial"/>
        <family val="2"/>
      </rPr>
      <t>del personal que se retire o cambie de rol dentro del equipo</t>
    </r>
    <r>
      <rPr>
        <sz val="10"/>
        <color rgb="FF003300"/>
        <rFont val="Arial"/>
        <family val="2"/>
      </rPr>
      <t xml:space="preserve">, </t>
    </r>
    <r>
      <rPr>
        <b/>
        <sz val="10"/>
        <color rgb="FF003300"/>
        <rFont val="Arial"/>
        <family val="2"/>
      </rPr>
      <t>así como el uso permanente de los repositorios oficiales de información</t>
    </r>
    <r>
      <rPr>
        <sz val="10"/>
        <color rgb="FF003300"/>
        <rFont val="Arial"/>
        <family val="2"/>
      </rPr>
      <t xml:space="preserve">. Si se presentan inconsistencias u omisiones, se deben resolver por parte del jefe inmediato o supervisor de contrato con el colaborador saliente, antes de aprobar su retiro de la entidad. </t>
    </r>
  </si>
  <si>
    <t>Activos con información pública:
Formato control general SUIN - Juriscol 
Control de providencia a cargar Corte Constitucional
Control de providencia a cargar Consejo de Estado
Lineamientos o metodologías para la depuración normativa
Proyectos normativos de depuración del Ordenamiento Jurídico 
Escrito de intervención - Corte Constitucional 
Escrito de intervención - Consejo de Estado 
Escrito de concepto de no intervención
Formato Cuadro procesos de constitucionalidad Corte Constitucional
Formato Cuadro procesos de nulidad Consejo de Estado
Comunicación de Coordinación defensas de constitucionalidad
Formato de vencimientos Corte Constitucional y Consejo de Estado
Conceptos de constitucionalidad sobre proyectos normativos</t>
  </si>
  <si>
    <r>
      <rPr>
        <sz val="10"/>
        <color rgb="FF003300"/>
        <rFont val="Arial"/>
        <family val="2"/>
      </rPr>
      <t xml:space="preserve">La DDOJ con el apoyo de la STSI, cada vez se que sea necesario, realiza la gestión de contratación de los servicios de soporte y mantenimiento requeridos sobre el software SUIN-Juriscol, de manera que se cuente con un sistema de información seguro, estable y con la capacidad requerida para dar atención a las necesidades. </t>
    </r>
    <r>
      <rPr>
        <b/>
        <sz val="10"/>
        <color rgb="FF003300"/>
        <rFont val="Arial"/>
        <family val="2"/>
      </rPr>
      <t>Si se presentan cambios sobre el software, se debe cumplir con el procedimiendo de control de cambios</t>
    </r>
    <r>
      <rPr>
        <sz val="10"/>
        <color rgb="FF003300"/>
        <rFont val="Arial"/>
        <family val="2"/>
      </rPr>
      <t>. Actualmente no cuenta con el servicio de soporte y mantenimiento contratado.</t>
    </r>
  </si>
  <si>
    <t>Realizar la gestión contractual para la contratación de un serfvicio de soporte y mantenimiento sobre SUIN-Juriscol, de manera que se cuente con la solución oportuna de incidentes, se realicen remediaciones de posibles vulnerabilidades y se mejore el código del aplicativo, por parte del proveedor.</t>
  </si>
  <si>
    <t>Si se presenta algún incidente se debe reportar por caso Aranda para realizar la correspondiente remediación.</t>
  </si>
  <si>
    <r>
      <rPr>
        <sz val="10"/>
        <color rgb="FF003300"/>
        <rFont val="Arial"/>
        <family val="2"/>
      </rPr>
      <t xml:space="preserve">El Grupo de Gestión Administrativa coordina y contrata servicios de seguridad físicia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y </t>
    </r>
    <r>
      <rPr>
        <b/>
        <sz val="10"/>
        <color rgb="FF003300"/>
        <rFont val="Arial"/>
        <family val="2"/>
      </rPr>
      <t>planilla de control de acceso</t>
    </r>
    <r>
      <rPr>
        <sz val="10"/>
        <color rgb="FF003300"/>
        <rFont val="Arial"/>
        <family val="2"/>
      </rPr>
      <t xml:space="preserve">. Si se presentan inconvenientes, se tramitará por parte de la STSI. </t>
    </r>
  </si>
  <si>
    <t>Activos de criticidad alta con información reservada:
Actas Consejo Superior de Política Criminal
Actas Comité Técnico de Política Criminal
Actas Comisión Asesora de Política Criminal
Conceptos emitidos por el CSPC
Documentos e informes de las tematicas priorizadas de Política Criminal</t>
  </si>
  <si>
    <r>
      <rPr>
        <sz val="10"/>
        <color rgb="FF003300"/>
        <rFont val="Arial"/>
        <family val="2"/>
      </rPr>
      <t xml:space="preserve">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t>
    </r>
    <r>
      <rPr>
        <b/>
        <sz val="10"/>
        <color rgb="FF003300"/>
        <rFont val="Arial"/>
        <family val="2"/>
      </rPr>
      <t>y planilla de control de acceso</t>
    </r>
    <r>
      <rPr>
        <sz val="10"/>
        <color rgb="FF003300"/>
        <rFont val="Arial"/>
        <family val="2"/>
      </rPr>
      <t xml:space="preserve">. Si se presentan inconvenientes, se tramitará por parte de la STSI. </t>
    </r>
  </si>
  <si>
    <t>La DPC implementará un plan para asegurar el almacenamiento seguro de los activos con información reservada en formato electrónico y físico. Los activos electrónicos deben ser almacenados en los repositorios oficiales de la entidad y los activos físicos deberán estar protegidos contra accesos no autorizados, en el archivo de gestión.</t>
  </si>
  <si>
    <t>La Dirección de Política Criminal identifica, clasifica y divulga anualmente el inventario de activos de información entre todos los colaboradores del área,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</si>
  <si>
    <t xml:space="preserve">Activos con criticidad media e información clasificada:
Procesos Contractuales
Multas y Cláusula Penal
Hoja de vida y oferta con los respectivos soportes </t>
  </si>
  <si>
    <t>El Grupo de Gestión Administrativa coordina y contrata servicios de seguridad físicia y restricción de acceso a las instalaciones, con el fin de proteger los activos de información de la entidad. Así mismo, la dependencia a cargo de los activos debe asegurar la implementación de los controles adicionales requeridos para restringir el acceso a los activos en formato físico que puedan contener información clasificada o reservada, para evitar accesos no autorizados o afectación a la integridad de los mismos.</t>
  </si>
  <si>
    <t>La Secretaria General identifica, clasifica y divulga anualmente sus activos de información entre todos los colaboradores del área,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</si>
  <si>
    <t>Activos de criticidad alta con información reservada:
Proyecto de Resolución que resuelve indulto
Oficio remisorio de listas de Postulados
Expediente de postulación individual y/o colectiva a la Ley de Justicia y Paz</t>
  </si>
  <si>
    <t>La Dirección de Justicia Transicional implementará un plan para mejorar los contorles implementados para la protección de los activos críticos el cual buscará:
1. Garantizar el almacenamiento seguro de los activos con información clasificada y reservada en formato electrónico y físico. Los activos electrónicos deben ser almacenados en los repositorios oficiales de la entidad y los activos físicos deberán estar protegidos contra accesos no autorizados, en el archivo de gestión.
2. Se revisará el control de la gestión de accesos al SIJIT, para mejorar el registro y seguimiento del mismo, se realizará la oficialización de su documentación a través del Sistema Integrado de Gestión.</t>
  </si>
  <si>
    <t>Se otorgan accesos al sistema de información del SIJIT a través de autorización del Director (a) de Justicia Transicional,  en el marco del acuerdo interinstitucional con otras entidades del gobierno nacional. El registro se lleva con la firma de formato de acceso por usuario.</t>
  </si>
  <si>
    <t>Activos con información clasificada y reservada, en papel:
Archivo de Gestión (comprende toda la documentación que es sometida a continua utilización y consulta administrativa por las oficinas productoras u otras que la soliciten. Su circulación o trámite se realiza para dar respuesta o solución a los asuntos iniciados.)</t>
  </si>
  <si>
    <t>Condiciones ambientales o físicas inadecuadas o inseguras en el centro de cómputo o archivo</t>
  </si>
  <si>
    <r>
      <t xml:space="preserve">El Coordinador de Gestión Documental o  profesional designado, realizará trimestralmente </t>
    </r>
    <r>
      <rPr>
        <b/>
        <sz val="10"/>
        <color rgb="FF003300"/>
        <rFont val="Arial"/>
        <family val="2"/>
      </rPr>
      <t>la verificación del cumplimiento de las condiciones ambientales.</t>
    </r>
    <r>
      <rPr>
        <sz val="10"/>
        <color rgb="FF003300"/>
        <rFont val="Arial"/>
      </rPr>
      <t xml:space="preserve"> En caso de que se identifiquen desviaciones o condiciones inadecuadas, se documentaran las medidas correctivas para la evaluacion de viabilidad.
Evidencia: Informe  de Implementación del Sistema Integrado de Conservación.</t>
    </r>
  </si>
  <si>
    <t>Implementación del Plan de Conservación Documental del Sistema Integrado de Conservación para la mejora de las condiciones de los archivos de gestión de la entidad.
Implementación del proceso de digitalización y conformación del expediente electrónico para las dependencias que aún manejan activos en papel.</t>
  </si>
  <si>
    <t>Si se presenta algún incidente se debe reportar por caso Aranda como incidente de seguridad de la información.</t>
  </si>
  <si>
    <t>El Coordinador de Gestión Documental o el técnico designado implementará el control de permisos para el acceso a los archivos. Tras cualquier cambio en los permisos de acceso, el Grupo de Gestión Documental (GGD) enviará un correo electrónico al Grupo de Gestión Administrativa (GGA) y al supervisor del contrato de vigilancia, adjuntando la lista actualizada de personas autorizadas para ingreso al archivo de gestion y archivo central.
Evidencia: Correo Electronico</t>
  </si>
  <si>
    <t>Plan de implementación de mejora en los controles de acceso en los archivos de gestión de la entidad.</t>
  </si>
  <si>
    <t>Instalaciones críticas para la seguridad de la información:
Bodega Archivo central</t>
  </si>
  <si>
    <r>
      <t xml:space="preserve">El Coordinador de Gestión Documental o técnico designado implementa el registro en el Formato F-GD-06-03 - Control de Ingreso y Salida de Bodegas de Archivo, lo cual </t>
    </r>
    <r>
      <rPr>
        <b/>
        <sz val="10"/>
        <color rgb="FF003300"/>
        <rFont val="Arial"/>
        <family val="2"/>
      </rPr>
      <t>garantiza la evidencia de las personas que ingresaron al archivo de gestión y central</t>
    </r>
    <r>
      <rPr>
        <sz val="10"/>
        <color rgb="FF003300"/>
        <rFont val="Arial"/>
        <family val="2"/>
      </rPr>
      <t>. En caso de detectarse el ingreso de personal no autorizado, se notificará inmediatamente al GGA, a la Secretaría General (SG) y a la Oficina de Control Interno (OCI) para la adopción de las medidas correctivas pertinentes
Evidencia: F-GD-06-03-Contol de Ingreso y Salida de Bodegas de archivo</t>
    </r>
  </si>
  <si>
    <t>Fallas, deficiencias o desactualización de la infraestructura tecnológica o física</t>
  </si>
  <si>
    <t>Implementación del Plan de Conservación Documental del Sistema Integrado de Conservación para la mejora de las condiciones del archivo central de la entidad.</t>
  </si>
  <si>
    <r>
      <t xml:space="preserve">El Coordinador de Gestión Documental o  profesional designado, realizará trimestralmente </t>
    </r>
    <r>
      <rPr>
        <b/>
        <sz val="10"/>
        <color rgb="FF003300"/>
        <rFont val="Arial"/>
        <family val="2"/>
      </rPr>
      <t>la verificación del cumplimiento de las condiciones de preservación necesarias para una adecuada gestión documental</t>
    </r>
    <r>
      <rPr>
        <sz val="10"/>
        <color rgb="FF003300"/>
        <rFont val="Arial"/>
      </rPr>
      <t>. En caso de que se identifiquen desviaciones o condiciones inadecuadas, se documentaran las medidas correctivas para la evaluacion de viabilidad.
Evidencia: Informe  de Implementación del Sistema Integrado de Conservación.</t>
    </r>
  </si>
  <si>
    <t>Activos de criticidad alta con información clasificada:
Historia Laboral
Historias de Judicantes Ad Honorem
Historias de Practicantes y Pasantes
Actas de Comisión de Personal
Actas de Comité Paritario de Seguridad y Salud en el Trabajo
Programa de Teletrabajo</t>
  </si>
  <si>
    <r>
      <rPr>
        <sz val="10"/>
        <color rgb="FF003300"/>
        <rFont val="Arial"/>
      </rPr>
      <t xml:space="preserve">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acceso restringido por lector biométrico, cámara de seguridad en la entrada y </t>
    </r>
    <r>
      <rPr>
        <b/>
        <sz val="10"/>
        <color rgb="FF003300"/>
        <rFont val="Arial"/>
      </rPr>
      <t>planilla de control de acceso</t>
    </r>
    <r>
      <rPr>
        <sz val="10"/>
        <color rgb="FF003300"/>
        <rFont val="Arial"/>
      </rPr>
      <t xml:space="preserve">. Si se presentan inconvenientes, se tramitará por parte de la STSI. </t>
    </r>
  </si>
  <si>
    <r>
      <rPr>
        <sz val="10"/>
        <color rgb="FF003300"/>
        <rFont val="Arial"/>
      </rPr>
      <t xml:space="preserve">El Grupo de Gestión Administrativa coordina y contrata servicios de seguridad físicia y restricción de acceso a las instalaciones, con el fin de proteger los activos de información de la entidad. Así mismo, la dependencia a cargo de los activos debe asegurar la implementación de los controles adicionales requeridos para </t>
    </r>
    <r>
      <rPr>
        <b/>
        <sz val="10"/>
        <color rgb="FF003300"/>
        <rFont val="Arial"/>
      </rPr>
      <t>restringir el acceso a los activos en formato físico que puedan contener información clasificada o reservada</t>
    </r>
    <r>
      <rPr>
        <sz val="10"/>
        <color rgb="FF003300"/>
        <rFont val="Arial"/>
      </rPr>
      <t>, para evitar accesos no autorizados o afectación a la integridad de los mismos.</t>
    </r>
  </si>
  <si>
    <t>Activos de criticidad media con información clasificada:
Documentos Soporte y Respuestas a  PQRS
Trámites de conciliaciones extrajudiciales en las que interviene el Ministerio de Justicia y del Derecho
Contingencias proyectadas e información procesal
Calculo de Provisión Contable de Procesos Judiciales, Conciliaciones Extrajudiciales y Trámites Arbitrales en contra de la entidad
Provisión de condenas en contra de la entidad no ejecutoriadas
Pasivos Contingentes Administrativos de carácter no judicial
Procesos promovidos por la entidad o en los que interviene el MJD
Condenas en contra del MJD en firme y ejecutoriadas
Informes de Gestión - Dirección Jurídica - Grupo Defensa Juridica
Procesos Judiciales
Informes de Gestión Extinción de Dominio
Demandas de Procesos de Extinción de Dominio Ley 793 y 1849
Registro de Tutelas
Expedientes de las acciones constitucionales de tutela de competencia de la Dirección Jurídica
Conceptos de La Dirección Jurídica - Soportes
Conceptos Requeridos de la Sala de Consulta y Servicio Civil del Consejo de Estado
Procesos Cobro Persuasivo y Coactivo
Trazabilidad Cobro Coactivo
Trámite de Actuaciones Administrativas
Documentos Soporte Actuaciones Administrativas Recibidos por medio análogo y/o electrónico.</t>
  </si>
  <si>
    <t xml:space="preserve">Personal crítico para la operación del proceso y/o la seguridad de la información:
Director Jurídico
</t>
  </si>
  <si>
    <t>La Dirección Jurídica identifica , clasifica y divulga anualmente sus activos de información entre todos los colaboradores del área, junto con las recomendaciones de manejo de los activos que contienen información clasificada y reservada, deben ser manejados con la aplicación de los controles recomendados por las políticas de seguridad de la información de la entidad. Las inconsistencias o eventos se reportan por casos Aranda a Mesa de Ayuda de TI.</t>
  </si>
  <si>
    <t>Activos con información clasificada:
Beneficiario Cuenta SIIF
Conciliación Reserva Presupuestal
Constitución de Reservas Presupuestales
Solicitud de Registro Presupuestal
Planilla Control - Radicación de Cuentas. 
Planilla Control - Radicación Legalización de  Comisiones.
Formato Unico para pago de contratistas (Persona Natural / Persona Jurídica)
Informe de Ejecución de Actividades.
Informe de Ejecuciòn Contractual
Planilla Integrada de Seguridad Social.
Declaración Juramentada, con los respectivos soportes (certificados de medicina prepaga, dependientes, Ptmo. de vivienda) y RUT.
Formato de Retención en la Fuente.
Obligación Presupuestal</t>
  </si>
  <si>
    <r>
      <t xml:space="preserve">1. La DTGIJ y STSI establecen y aseguran el cumplimiento de las políticas y el procedimiento de Gestión de Usuarios, el área propietaria de los mismos debe realizar validaciones periódicas </t>
    </r>
    <r>
      <rPr>
        <sz val="9"/>
        <color theme="2" tint="-0.89999084444715716"/>
        <rFont val="Arial"/>
        <family val="2"/>
      </rPr>
      <t>(semestrales)</t>
    </r>
    <r>
      <rPr>
        <sz val="9"/>
        <color rgb="FF003300"/>
        <rFont val="Arial"/>
        <family val="2"/>
      </rPr>
      <t xml:space="preserve"> de los derechos otorgados y la segregación de funciones, reportando si se presentan inconsistencias a través de un caso Aranda a Mesa de Ayuda de TI.</t>
    </r>
  </si>
  <si>
    <t xml:space="preserve">La DTGIJ y STSI Implementarán el Múltiple Factor de Autenticación en las cuentas con acceso privilegiado a la información reservada de la entidad. </t>
  </si>
  <si>
    <t>2. El Grupo de Gestión Financiera y Contable identifica, clasifica y divulga anualmente sus activos de información entre todos los colaboradores del área,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</si>
  <si>
    <t>Roles criticos para la operación del proceso y la seguridad de la información:
Coordinador Grupo de Gestión Financiera y Contable
Tesorero Grupo de Gestión Financiera y Contable</t>
  </si>
  <si>
    <t xml:space="preserve">Activos con información reservada:
Decisiones proferidas en  procesos disciplinarios
Registro de expedientes  Disciplinarios 
</t>
  </si>
  <si>
    <r>
      <rPr>
        <sz val="10"/>
        <color rgb="FF003300"/>
        <rFont val="Arial"/>
      </rPr>
      <t xml:space="preserve">La DTGIJ y STSI establecen y aseguran el cumplimiento de la políticas de desarrollo seguro en el desarrollo y mantenimiento del software SIM para Control Disciplinario Interno, </t>
    </r>
    <r>
      <rPr>
        <b/>
        <sz val="10"/>
        <color rgb="FF003300"/>
        <rFont val="Arial"/>
      </rPr>
      <t>cada vez que se realizan cambios o mejoras (Formato de control de cambios F-TI-06-01),  brindando el soporte requerido sobre la solución; a través de la Fábrica de Software y la Oficina CDI realiza las validaciones y pruebas funcionales requeridas</t>
    </r>
    <r>
      <rPr>
        <sz val="10"/>
        <color rgb="FF003300"/>
        <rFont val="Arial"/>
      </rPr>
      <t>, reportando si se presentan inconsistencias a través de un caso Aranda a Mesa de Ayuda de TI.</t>
    </r>
  </si>
  <si>
    <r>
      <rPr>
        <sz val="10"/>
        <color rgb="FF003300"/>
        <rFont val="Arial"/>
      </rPr>
      <t xml:space="preserve">La Oficina de Control DIsciplinario Interno identifica , clasifica y </t>
    </r>
    <r>
      <rPr>
        <b/>
        <sz val="10"/>
        <color rgb="FF003300"/>
        <rFont val="Arial"/>
      </rPr>
      <t>divulga anualmente sus activos de información entre todos los colaboradores del área, junto con las recomendaciones de manejo de los activos que contienen información clasificada y reservada</t>
    </r>
    <r>
      <rPr>
        <sz val="10"/>
        <color rgb="FF003300"/>
        <rFont val="Arial"/>
      </rPr>
      <t>, los cuales deben ser manejados con la aplicación de los controles recomendados por las políticas de seguridad de la información de la entidad. Las inconsistencias o eventos se reportan por casos Aranda a Mesa de Ayuda de TI.</t>
    </r>
  </si>
  <si>
    <t>Jefe de la Oficina de Control Disciplinario Interno</t>
  </si>
  <si>
    <r>
      <rPr>
        <sz val="10"/>
        <color rgb="FF003300"/>
        <rFont val="Arial"/>
      </rPr>
      <t xml:space="preserve">El Grupo de Talento Humano o Gestión Contractual realiza la validación de antecedentes e inclusión de claúsulas contractuales y asegura la </t>
    </r>
    <r>
      <rPr>
        <b/>
        <sz val="10"/>
        <color rgb="FF003300"/>
        <rFont val="Arial"/>
      </rPr>
      <t>firma de los compromisos de confidencialidad</t>
    </r>
    <r>
      <rPr>
        <sz val="10"/>
        <color rgb="FF003300"/>
        <rFont val="Arial"/>
      </rPr>
      <t xml:space="preserve"> antes de la vinculación del colaborador, con el fin de establecer las obligaciones con respecto a la seguridad de la información, lo cual se valida mediante los documentos firmados. Si no se cumplen los requisitos no se puede autorizar el ingreso del funcionario o contratación del prestador de servicios.</t>
    </r>
  </si>
  <si>
    <t>Activos de criticidad media con información clasificada:
Reporte sobre Población Carcelaria Ley 1786 de 2016
Reportes de información de seguimiento de actividades de áreas del MJD
Modelo de gestión de información en justicia  - Documentos de trabajo - transformación y/o análisis de Información
Base de datos SQL observatorio de justicia unificado</t>
  </si>
  <si>
    <t>La SGIJ identifica , clasifica y divulga anualmente sus activos de información entre todos los colaboradores del área, junto con las recomendaciones de manejo de los activos que contienen información clasificada y deben ser manejados con la aplicación de los controles recomendados por las políticas de seguridad de la información de la entidad. Las inconsistencias o eventos se reportan por casos Aranda a Mesa de Ayuda de TI.</t>
  </si>
  <si>
    <t>Personal crítico para la operación del proceso y/o la seguridad de la información:
Personal Técnico base de datos
Personal Técnico reportes de información</t>
  </si>
  <si>
    <t xml:space="preserve">La dependencia a cargo de los activos debe garantizar la entrega de la información y gestión del conocimiento relativo a las funciones, obligaciones y responsabilidades del personal que se retire o cambie de rol dentro del equipo, así como el uso permanente de los repositorios oficiales de información. Si se presentan inconsistencias u omisiones, se deben resolver por parte del jefe inmediato o supervisor de contrato con el colaborador saliente, antes de aprobar su retiro de la entidad. </t>
  </si>
  <si>
    <t>Activos de criticidad media, con información clasificada:
Células sectoriales
Plan de continuidad y de recuperación de desastres
Plan de cultura y apropiación de tecnologías</t>
  </si>
  <si>
    <r>
      <rPr>
        <sz val="10"/>
        <color rgb="FF003300"/>
        <rFont val="Arial"/>
      </rPr>
      <t xml:space="preserve">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acceso restringido por </t>
    </r>
    <r>
      <rPr>
        <b/>
        <sz val="10"/>
        <color rgb="FF003300"/>
        <rFont val="Arial"/>
      </rPr>
      <t>lector biométrico, cámara de seguridad en la entrada y planilla de control de acceso</t>
    </r>
    <r>
      <rPr>
        <sz val="10"/>
        <color rgb="FF003300"/>
        <rFont val="Arial"/>
      </rPr>
      <t xml:space="preserve">. Si se presentan inconvenientes, se tramitará por parte de la STSI. </t>
    </r>
  </si>
  <si>
    <t xml:space="preserve">    </t>
  </si>
  <si>
    <r>
      <rPr>
        <sz val="10"/>
        <color rgb="FF003300"/>
        <rFont val="Arial"/>
      </rPr>
      <t xml:space="preserve">La DTGIJ </t>
    </r>
    <r>
      <rPr>
        <b/>
        <sz val="10"/>
        <color rgb="FF003300"/>
        <rFont val="Arial"/>
      </rPr>
      <t>identifica, clasifica y divulga anualmente sus activos de información entre todos los colaboradores del área</t>
    </r>
    <r>
      <rPr>
        <sz val="10"/>
        <color rgb="FF003300"/>
        <rFont val="Arial"/>
      </rPr>
      <t>,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r>
  </si>
  <si>
    <t>Activos tipo instalaciones de criticidad alta:
Data Center MJD Chapinero
Centros de cableado
Centro de conectividad sede Centro</t>
  </si>
  <si>
    <r>
      <rPr>
        <sz val="10"/>
        <color rgb="FF003300"/>
        <rFont val="Arial"/>
      </rPr>
      <t xml:space="preserve">1. El Grupo de Gestión Administrativa coordina y contrata servicios de seguridad física y restricción de acceso a las instalaciones, con el fin de proteger los activos de información de la entidad. La STSI asegura unas condiciones mínimas ambientales adecuadas para el mantenimiento de los activos del data center y un </t>
    </r>
    <r>
      <rPr>
        <b/>
        <sz val="10"/>
        <color rgb="FF003300"/>
        <rFont val="Arial"/>
      </rPr>
      <t>acceso restringido por lector biométrico, cámara de seguridad en la entrada y planilla de control de acceso</t>
    </r>
    <r>
      <rPr>
        <sz val="10"/>
        <color rgb="FF003300"/>
        <rFont val="Arial"/>
      </rPr>
      <t xml:space="preserve">. Si se presentan inconvenientes, se tramitará por parte de la STSI. 
El Data Center está ubicado en una oficina interna del edificio, sin exposición direct a través de ventanas o ductos. Se mantiene control de temperatura y humedad y se monitorean los servidores.
Cuenta con cámara de seguridad al ingreso, se restringe y registra la entrada de personal del MJD así como externos y los trabajos de los proveedores supervisados.
El cableado es estructurado, se restringe el acceso a los centros de cableado, se realiza mantenimiento programado a los equipos de cómputo, servidores y telecomunicaciones. Se contratan servicios en nube para el almacenamiento seguro de la información.
Finalmente, se cuenta con un Plan de Continuidad de Negocio, Plan de Emergencias y Plan de Recuperación de Desastres.
</t>
    </r>
  </si>
  <si>
    <t>Ejecución de un plan de actualización y mantenimiento de la plataforma tecnológica del MJD.</t>
  </si>
  <si>
    <t>Si se presentan incidentes se gestionan a través de casos en Mesa de Ayuda de TI.</t>
  </si>
  <si>
    <r>
      <rPr>
        <sz val="10"/>
        <color rgb="FF003300"/>
        <rFont val="Arial"/>
      </rPr>
      <t xml:space="preserve">2. El Grupo de Gestión Administrativa asegura el mantenimiento y buena disposición de la infraestructura física. La STSI contrata y supervisa el mantenimiento de los equipos de cómputo, redes de telecomunicaciones y cableado de la entidad. Además, </t>
    </r>
    <r>
      <rPr>
        <b/>
        <sz val="10"/>
        <color rgb="FF003300"/>
        <rFont val="Arial"/>
      </rPr>
      <t>monitorea las redes y los equipos críticos de la entidad, para detectar incidentes de rendimiento, capacidad o disponibilidad de la infraestructura crítia, sobre lo cual se generan alarmas</t>
    </r>
    <r>
      <rPr>
        <sz val="10"/>
        <color rgb="FF003300"/>
        <rFont val="Arial"/>
      </rPr>
      <t>. En caso de detectarse un incidente se atiende por aprte del personal de la STSI.</t>
    </r>
  </si>
  <si>
    <t xml:space="preserve">Activos de criticidad media, con información clasificada:
Catálogo de elementos de infraestructura
Reporte de seguimiento de disponibilidad de la infraestructura crítica
Documentación y códigos fuente de aplicaciones de software </t>
  </si>
  <si>
    <r>
      <rPr>
        <sz val="10"/>
        <color rgb="FF003300"/>
        <rFont val="Arial"/>
      </rPr>
      <t xml:space="preserve">3. La STSI define, implementa y controla la restricción de instalación de software no licenciado en los equipos de la entidad, asegura la instalación de sistemas antivirus y antimalware, actualización de sistemas operativos, software y aplicaciones de escritorio; de acuerdo con las necesidades de los usuarios y las mejores prácticas. </t>
    </r>
    <r>
      <rPr>
        <b/>
        <sz val="10"/>
        <color rgb="FF003300"/>
        <rFont val="Arial"/>
      </rPr>
      <t>Los contratistas y funcionarios que utilicen equipos propios para la gestión de información del MJD deben pasar una validación del estado de su equipo por parte de la Mesa de Ayuda de TI.</t>
    </r>
    <r>
      <rPr>
        <sz val="10"/>
        <color rgb="FF003300"/>
        <rFont val="Arial"/>
      </rPr>
      <t xml:space="preserve"> </t>
    </r>
  </si>
  <si>
    <r>
      <rPr>
        <sz val="10"/>
        <color rgb="FF003300"/>
        <rFont val="Arial"/>
      </rPr>
      <t xml:space="preserve">4. El Grupo de Talento Humano o Gestión Contractual realiza la validación de antecedentes e inclusión de claúsulas contractuales y asegura la firma de los </t>
    </r>
    <r>
      <rPr>
        <b/>
        <sz val="10"/>
        <color rgb="FF003300"/>
        <rFont val="Arial"/>
      </rPr>
      <t>compromisos de confidencialidad antes de la vinculación del colaborador</t>
    </r>
    <r>
      <rPr>
        <sz val="10"/>
        <color rgb="FF003300"/>
        <rFont val="Arial"/>
      </rPr>
      <t>, con el fin de establecer las obligaciones con respecto a la seguridad de la información, lo cual se valida mediante los documentos firmados. Si no se cumplen los requisitos no se puede autorizar el ingreso del funcionario o contratación del prestador de servicios.</t>
    </r>
  </si>
  <si>
    <t>Activos tipo personas con roles críticos para la seguridad de la información: Administradores de sistemas de información, bases de datos  y plataformas tecnológicas</t>
  </si>
  <si>
    <r>
      <rPr>
        <sz val="10"/>
        <color rgb="FF003300"/>
        <rFont val="Arial"/>
      </rPr>
      <t xml:space="preserve">5. La DTGIJ y STSI establecen el cumplimiento de las políticas y el procedimiento de Gestión de Usuarios, el área propietaria de los mismos debe realizar validaciones periódicas de los derechos otorgados y la segregación de funciones, reportando si se presentan inconsistencias a través de un caso Aranda a Mesa de Ayuda de TI.
</t>
    </r>
    <r>
      <rPr>
        <b/>
        <sz val="10"/>
        <color rgb="FF003300"/>
        <rFont val="Arial"/>
      </rPr>
      <t>Para los accesos privilegiados se aplica el Múltiple Factor de Autenticación, estándar de contraseñas seguras y actualización periódica.</t>
    </r>
  </si>
  <si>
    <t>Inadecuada protección de la información por parte de la entidad, proveedores o aliado</t>
  </si>
  <si>
    <r>
      <rPr>
        <sz val="10"/>
        <color rgb="FF003300"/>
        <rFont val="Arial"/>
      </rPr>
      <t xml:space="preserve">6. La STSI </t>
    </r>
    <r>
      <rPr>
        <b/>
        <sz val="10"/>
        <color rgb="FF003300"/>
        <rFont val="Arial"/>
      </rPr>
      <t>gestiona e implementa mecanismos y herramientas de seguridad perimetral, escaneo y segregación de redes, gestión de vulnerabilidades</t>
    </r>
    <r>
      <rPr>
        <sz val="10"/>
        <color rgb="FF003300"/>
        <rFont val="Arial"/>
      </rPr>
      <t xml:space="preserve">, gestión y certificados seguros para los sitios y subsitios web, sistemas de información y aplicaciones de la entidad. Los incidentes deben ser reportados por caso Aranda a la Mesa de Ayuda de TI. </t>
    </r>
  </si>
  <si>
    <t>Activos críticos tipo software en custodia de la STSI:
Página web (sitios y subsitios)
Plataforma de red y seguridad perimetral (firewall), control de navegación (proxy), correo, antivirus, antimalware, Office365</t>
  </si>
  <si>
    <r>
      <rPr>
        <sz val="10"/>
        <color rgb="FF003300"/>
        <rFont val="Arial"/>
      </rPr>
      <t xml:space="preserve">7. Los contratos y </t>
    </r>
    <r>
      <rPr>
        <b/>
        <sz val="10"/>
        <color rgb="FF003300"/>
        <rFont val="Arial"/>
      </rPr>
      <t>acuerdos con proveedores de bienes y servicios de TI</t>
    </r>
    <r>
      <rPr>
        <sz val="10"/>
        <color rgb="FF003300"/>
        <rFont val="Arial"/>
      </rPr>
      <t xml:space="preserve"> incluyen el compromiso de cumplimiento en términos de disponibilidad de las plataformas, mantenimiento preventivo y soporte, en caso de incidentes. Por incumplimiento de ANS se aplican cláusulas de descuento sobre el valor de la factura y los supervisores realizan el seguimiento al cumplimiento de obligaciones operativas y de seguridad del proveedor.</t>
    </r>
  </si>
  <si>
    <t>si</t>
  </si>
  <si>
    <t>Adquisición de herramienta de control de acceso con MFA (Múltiple Factor de Autenticación)</t>
  </si>
  <si>
    <r>
      <rPr>
        <sz val="10"/>
        <color rgb="FF003300"/>
        <rFont val="Arial"/>
      </rPr>
      <t xml:space="preserve">8. La STSI coordina la adquisición, soporte y mantenimiento de las plataformas y servicios de red, correo, antivirus, antimalware y página web. El equipo de infraestructura realiza configuración, monitoreo permanente, detección de amenazas, actualización de versiones y seguimiento al funcionamiento, rendimiento y seguridad de las mismas. En los contratos de soporte y mantenimiento, </t>
    </r>
    <r>
      <rPr>
        <b/>
        <sz val="10"/>
        <color rgb="FF003300"/>
        <rFont val="Arial"/>
      </rPr>
      <t>se incluyen las claúsulas, requisitos y compromisos de cumplimiento en cuanto a disponibilidad, integridad y confidencialidad</t>
    </r>
    <r>
      <rPr>
        <sz val="10"/>
        <color rgb="FF003300"/>
        <rFont val="Arial"/>
      </rPr>
      <t>.</t>
    </r>
  </si>
  <si>
    <r>
      <rPr>
        <sz val="10"/>
        <color rgb="FF003300"/>
        <rFont val="Arial"/>
      </rPr>
      <t xml:space="preserve">9. La STSI </t>
    </r>
    <r>
      <rPr>
        <b/>
        <sz val="10"/>
        <color rgb="FF003300"/>
        <rFont val="Arial"/>
      </rPr>
      <t>gestiona e implementa mecanismos y herramientas de seguridad perimetral, escaneo y segregación de redes, gestión de vulnerabilidades</t>
    </r>
    <r>
      <rPr>
        <sz val="10"/>
        <color rgb="FF003300"/>
        <rFont val="Arial"/>
      </rPr>
      <t>, gestión y certificados seguros para los sitios y subsitios web, sistemas de información y aplicaciones de la entidad. Los incidentes deben ser reportados por caso Aranda a la Mesa de Ayuda de TI.</t>
    </r>
  </si>
  <si>
    <t>Activos críticos: sistemas de información en custodia de la STSI</t>
  </si>
  <si>
    <r>
      <rPr>
        <sz val="10"/>
        <color rgb="FF003300"/>
        <rFont val="Arial"/>
      </rPr>
      <t xml:space="preserve">10. Los contratos y acuerdos con proveedores de bienes y servicios de TI incluyen </t>
    </r>
    <r>
      <rPr>
        <b/>
        <sz val="10"/>
        <color rgb="FF003300"/>
        <rFont val="Arial"/>
      </rPr>
      <t>el compromiso de cumplimiento en términos de disponibilidad de las plataformas, mantenimiento preventivo y soporte, en caso de incidentes</t>
    </r>
    <r>
      <rPr>
        <sz val="10"/>
        <color rgb="FF003300"/>
        <rFont val="Arial"/>
      </rPr>
      <t>. Por incumplimiento de ANS se aplican cláusulas de descuento sobre el valor de la factura y los supervisores realizan el seguimiento al cumplimiento de obligaciones operativas y de seguridad del proveedor.</t>
    </r>
  </si>
  <si>
    <t>Plan de trabajo de la Fábrica de Software, con la implementación de mejoras, gestión de vulnerabilidades, logs de sistemas de información.</t>
  </si>
  <si>
    <r>
      <rPr>
        <sz val="10"/>
        <color rgb="FF003300"/>
        <rFont val="Arial"/>
      </rPr>
      <t xml:space="preserve">11. La STSI establece y asegura el cumplimiento de la políticas de desarrollo seguro en el desarrollo y mantenimientode software, asi como el control en todo el ciclo de vida de los sistemas de información, </t>
    </r>
    <r>
      <rPr>
        <b/>
        <sz val="10"/>
        <color rgb="FF003300"/>
        <rFont val="Arial"/>
      </rPr>
      <t>gestionando cambios o mejoras (Formato de control de cambios F-TI-06-01)</t>
    </r>
    <r>
      <rPr>
        <sz val="10"/>
        <color rgb="FF003300"/>
        <rFont val="Arial"/>
      </rPr>
      <t>,  brindando el soporte requerido sobre la solución. Las áreas funcionales deben cumplir las políticas en a administración de los sistemas y se presentan inconsistencias, reportarlas a través de un caso Aranda a Mesa de Ayuda de TI.</t>
    </r>
  </si>
  <si>
    <r>
      <rPr>
        <sz val="10"/>
        <color rgb="FF003300"/>
        <rFont val="Arial"/>
      </rPr>
      <t xml:space="preserve">12. La DTGIJ y STSI establecen el cumplimiento de las políticas y el procedimiento de Gestión de Usuarios para el acceso a los sistemas de información,  </t>
    </r>
    <r>
      <rPr>
        <b/>
        <sz val="10"/>
        <color rgb="FF003300"/>
        <rFont val="Arial"/>
      </rPr>
      <t>el área propietaria de los activos debe otorgar, realizar validaciones y revisiones periódicas de los derechos otorgados y la segregación de funciones</t>
    </r>
    <r>
      <rPr>
        <sz val="10"/>
        <color rgb="FF003300"/>
        <rFont val="Arial"/>
      </rPr>
      <t>, reportando si se presentan inconsistencias a través de un caso Aranda a Mesa de Ayuda de TI.</t>
    </r>
  </si>
  <si>
    <t>Bases de datos de los sistemas de información de la entidad, a cargo de la STSI</t>
  </si>
  <si>
    <r>
      <rPr>
        <sz val="10"/>
        <color rgb="FF003300"/>
        <rFont val="Arial"/>
      </rPr>
      <t xml:space="preserve">13. La STSI </t>
    </r>
    <r>
      <rPr>
        <b/>
        <sz val="10"/>
        <color rgb="FF003300"/>
        <rFont val="Arial"/>
      </rPr>
      <t>realiza copias de seguridad de las bases de datos de todos los sistemas de información</t>
    </r>
    <r>
      <rPr>
        <sz val="10"/>
        <color rgb="FF003300"/>
        <rFont val="Arial"/>
      </rPr>
      <t>, con un software especializado en backups que permite la conservación, almacenamiento y recuperación de la información de los procesos de la entidad, en caso de afectación de la misma.</t>
    </r>
  </si>
  <si>
    <t>Implementación de la herramienta de almacenamiento de backups y prootección contra ramsomware Exagrip y puesta en producción</t>
  </si>
  <si>
    <r>
      <rPr>
        <sz val="10"/>
        <color rgb="FF003300"/>
        <rFont val="Arial"/>
      </rPr>
      <t xml:space="preserve">14. La STSI define, </t>
    </r>
    <r>
      <rPr>
        <b/>
        <sz val="10"/>
        <color rgb="FF003300"/>
        <rFont val="Arial"/>
      </rPr>
      <t>implementa y controla la administración, mantenimiento, operación, cambios y mejoras de la infraestructura tecnológica,</t>
    </r>
    <r>
      <rPr>
        <sz val="10"/>
        <color rgb="FF003300"/>
        <rFont val="Arial"/>
      </rPr>
      <t xml:space="preserve"> equipos, redes, sistemas de información y bases de datos de la entidad, de acuerdo con las necesidades de los usuarios y las mejores prácticas. Si se presentan incidencias, se registra un caso en mesa de ayuda y se atiende por parte del equipo de la STSI.</t>
    </r>
  </si>
  <si>
    <r>
      <rPr>
        <sz val="10"/>
        <color rgb="FF003300"/>
        <rFont val="Arial"/>
      </rPr>
      <t xml:space="preserve">15. La STSI realiza la administración de los accesos a los recursos de información,herramientas de administración de las plataformas de red, correo, seguridad perimetral, filtrado de contenido, backups y gestión de bases de datos con </t>
    </r>
    <r>
      <rPr>
        <b/>
        <sz val="10"/>
        <color rgb="FF003300"/>
        <rFont val="Arial"/>
      </rPr>
      <t>Múltiple Factor de Autenticación, contraseñas seguras y cambio periódico de las mismas.</t>
    </r>
  </si>
  <si>
    <t>Activos tipo hardware considerados críticos por los procesos: equipos de cómputo y atril de digiturno</t>
  </si>
  <si>
    <r>
      <rPr>
        <sz val="10"/>
        <color rgb="FF003300"/>
        <rFont val="Arial"/>
      </rPr>
      <t xml:space="preserve">16. La STSI </t>
    </r>
    <r>
      <rPr>
        <b/>
        <sz val="10"/>
        <color rgb="FF003300"/>
        <rFont val="Arial"/>
      </rPr>
      <t>gestiona y hace seguimiento a la ejecución de contratos de adquisición de hardware con su respectiva garantía</t>
    </r>
    <r>
      <rPr>
        <sz val="10"/>
        <color rgb="FF003300"/>
        <rFont val="Arial"/>
      </rPr>
      <t>, así como el mantenimiento técnico preventivo del hardware de la entidad.  Adicionalmente, se realiza la contratación y supervisión del contrato de soporte de Mesa de Ayuda de TI, con el propósito de atender incidentes de criticidad alta que puedan afectar la disponibilidad o integridad de los activos tipo hardware. (bolsa de repuestos)</t>
    </r>
  </si>
  <si>
    <r>
      <rPr>
        <sz val="10"/>
        <color rgb="FF003300"/>
        <rFont val="Arial"/>
      </rPr>
      <t xml:space="preserve">17. Los equipos de cómputo y demás dispositivos de hardware crítico deberán estár correctamente ubicados e instalados, por parte de la Mesa de Ayuda de TI, en condiciones ambientales y de seguridad mínimas, validadas por el personal de la Mesa, con el fin de evitar afectaciones en su integridad. </t>
    </r>
    <r>
      <rPr>
        <b/>
        <sz val="10"/>
        <color rgb="FF003300"/>
        <rFont val="Arial"/>
      </rPr>
      <t>Los usuarios son responsables de la custodia de los activos asignados y deberán reportar condiciones inseguras o que evidencien que pueden afectar el dispositivo</t>
    </r>
    <r>
      <rPr>
        <sz val="10"/>
        <color rgb="FF003300"/>
        <rFont val="Arial"/>
      </rPr>
      <t>.</t>
    </r>
  </si>
  <si>
    <t>Activos con información reservada, en formato electrónico o digital:
• Registros en base de datos de la DIJIN
• Registros en base de datos de Interpol
• Cuadro de trabajo
• Información de Comités de sustancias químicas 
• Matriz de seguimiento cuentas por cobrar 
• Bases de datos de exportaciones e importaciones 
• Información técnica de decretos arancelarios 
• Actas de visitas cannabis
• Reporte de visitas grupo técnico cannabis
• Cobros coactivos y suspensiones de licencias de cannabis
• Informes de seguimiento a asuntos internacionales</t>
  </si>
  <si>
    <t>La SCyFSQyE realiza la supervisión de los contratos cada mes a lo largo de su ejecución, con el proveedor de MICC, asegurando el seguimiento al cumplimiento de las obligaciones operativas en cuanto a funcionalidad, capacidad y estabilidad del software, así como la seguridad de la información. Si se presentan incumplimientos, se aplican las claúsulas contractuales y acuerdos de niveles de servicio vigentes.</t>
  </si>
  <si>
    <t>Solicitar realización de pruebas de análisis de vulnerabilidades periódicas sobre MICC, por parte de la STSI.</t>
  </si>
  <si>
    <t>Seguimiento a la remediación de vulnerabilidades y a la gestión y solución de incidentes de seguridad sobre MICC</t>
  </si>
  <si>
    <t>La SCyFSQyE asegura que en la relación con terceros se comuniquen, documenten y firmen las claúsulas y acuerdos referentes al cumplimiento de las políticas y al tratamiento de riesgos de seguridad que se puedan materializar. Esto incluye, asegurar el cumplimiento de la gestión de usuarios dentro del software MICC y SICOQ; para evitar que se tenga acceso a la información por usuarios no autorizados. En caso de presentarse un evento o incidente, se reportará por un caso Aranda a Mesa de Ayuda de TI.</t>
  </si>
  <si>
    <t>La SCyFSQyE, con el apoyo de la STSI realiza pruebas de aceptación de los sistemas de información antes de su salida a producción, con el fin de validar la funcionalidad, capacidad, estabilidad y cumplimiento de estándares de seguridad. Si se presentan incidentes o vulnerabilidades, se reporta al provedor y se hará seguimiento a la remediación de las mismas.</t>
  </si>
  <si>
    <t>Activos de información de clasificación media y alta con información publica y reservada:
• Documento marco de la Política Nacional de Drogas (2023-2033) Sembrando vida desterramos el narcotráfico
• Plan de Acción y seguimiento de la Política Nacional de Drogas
• Documento de recomendaciones de la Comisión mixta de Coordinación y seguimiento para la Política Nacional de Drogas
• Documento de recomendaciones de los aliados frente a temas priorizados frente a la política nacional de Drogas
• Documento “Los territorios y comunidades presentes en la formulación de la Política Nacional de Drogas 2023 – 2033 – Resultados analizados de los espacios territoriales”
• Documento de ayudas de memoria de las mesas técnicas interinstitucionales desarrolladas
• Documentos del Banco de Proyectos para el fortalecimiento de la Política Nacional de Drogas</t>
  </si>
  <si>
    <t xml:space="preserve">La STSI define, implementa y controla la restricción de instalación de software no licenciado en los equipos de la entidad, asegura la instalación de sistemas antivirus y antimalware, actualización de sistemas operativos, software y aplicaciones de escritorio; de acuerdo con las necesidades de los usuarios y las mejores prácticas. Los contratistas y funcionarios que utilicen equipos propios para la gestión de información del MJD deben pasar una validación del estado de su equipo por parte de la Mesa de Ayuda de TI. </t>
  </si>
  <si>
    <t xml:space="preserve">Activos de información de clasificación alta y media con información pública y reservada:
• Actas de comités técnicos asesor del Consejo Nacional de Estupefacientes
• Actas del Consejo Nacional de Estupefacientes
• Estudios y Análisis sobre diferentes temáticas de drogas realizados en el marco del Observatorio de Drogas de Colombia (confidencial o público)
• Documentos SIDCO
• Informes de Asistencia con Cooperación Internacional
</t>
  </si>
  <si>
    <t>La Subdirección de Tecnología y Seguridad de la Información (STSI) establece, implementa y supervisa las restricciones para la instalación de software no licenciado en los equipos institucionales. Asimismo, asegura la instalación de sistemas antivirus y antimalware, así como la actualización continua de sistemas operativos, software y aplicaciones de escritorio, de acuerdo con las necesidades de los usuarios y las mejores prácticas del sector. Los contratistas y funcionarios que empleen equipos  en la gestión de información de la Dirección de Drogas deben someter sus dispositivos a una validación de conformidad técnica a cargo de la Mesa de Ayuda de TI</t>
  </si>
  <si>
    <t xml:space="preserve">La Subdirección de Tecnología y Seguridad de la Información (STSI) asegura condiciones ambientales óptimas para el mantenimiento de los activos del centro de datos y establece un acceso restringido mediante lector biométrico, cámara de vigilancia en la entrada y un registro de control de acceso. Ante cualquier eventualidad, la STSI se encargará de tramitar la solución correspondiente </t>
  </si>
  <si>
    <t>Activos de criticidad media con información pública clasificada:
Herramientas de medición de la percepción ciudadana a través de los canales de atención virtuales.
Herramientas de medición de la percepción ciudadana a través de los canales de atención presencial y servicio postal.
Listados de asistencia del GSC
Oficios de respuesta a peticiones, quejas, sugerencias y denuncias 
Registros de las mediciones de percepción ciudadana</t>
  </si>
  <si>
    <t>El Grupo de Servicio al CIudadano identifica, clasifica y divulga anualmente sus activos de información entre todos los colaboradores del área, junto con las recomendaciones de manejo de los activos que contienen información clasificada y reservada, los cuales deben ser manejados con la aplicación de los controles recomendados por las políticas de seguridad de la información de la entidad. Las inconsistencias o eventos se reportan por casos Aranda a Mesa de Ayuda de TI.</t>
  </si>
  <si>
    <t>Activos de criticidad alta con información pública:
Informes de Peticiones, Quejas, Reclamos, Denuncias y Sugerencias
Diagnóstico y autodiagnósticos de MIPG de la Entidad</t>
  </si>
  <si>
    <t>La STSI define, implementa y controla la administración, mantenimiento, operación, cambios y mejoras de la infraestructura tecnológica, equipos, redes, sistemas de información y bases de datos de la entidad, de acuerdo con las necesidades de los usuarios y las mejores prácticas. Si se presentan incidencias, se registra un caso en mesa de ayuda y se atiende por parte del equipo de la STSI.</t>
  </si>
  <si>
    <t>Realizar una revisión de los repositorios utilizados para el almacenamiento de la información y validar con la STSI los controles aplicables de backups y pruebas de restauración de los mismos, para garantizar la conservación de la información.</t>
  </si>
  <si>
    <t>Si se presenta algun incidente , se radica caso en Mesa de Ayuda de TI.</t>
  </si>
  <si>
    <t>Personal crítico para la operación del proceso y/o la seguridad de la información:
Lideres Gestor de PQRSDF
Cientificos de datos GSC</t>
  </si>
  <si>
    <t>PROBABILIDAD DE OCURRENCIA</t>
  </si>
  <si>
    <t>CASI SEGURO
(5)</t>
  </si>
  <si>
    <t>PROBABLE
(4)</t>
  </si>
  <si>
    <t>POSIBLE
(3)</t>
  </si>
  <si>
    <t>IMPROBABLE
(2)</t>
  </si>
  <si>
    <t>RARA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</si>
  <si>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</si>
  <si>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</si>
  <si>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</si>
  <si>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</si>
  <si>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</si>
  <si>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</si>
  <si>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</si>
  <si>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</si>
  <si>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</si>
  <si>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</si>
  <si>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</si>
  <si>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</si>
  <si>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</si>
  <si>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</si>
  <si>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</si>
  <si>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</si>
  <si>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RARO VEZ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</si>
</sst>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9"/>
      <color indexed="81"/>
      <name val="Tahoma"/>
      <family val="2"/>
    </font>
    <font>
      <sz val="9"/>
      <color indexed="81"/>
      <name val="Tahoma"/>
      <family val="2"/>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sz val="72"/>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26"/>
      <color theme="1"/>
      <name val="Calibri"/>
      <family val="2"/>
      <scheme val="minor"/>
    </font>
    <font>
      <sz val="72"/>
      <color theme="1"/>
      <name val="Calibri"/>
      <family val="2"/>
      <scheme val="minor"/>
    </font>
    <font>
      <b/>
      <i/>
      <sz val="12"/>
      <name val="Gadugi"/>
      <family val="2"/>
    </font>
    <font>
      <sz val="18"/>
      <color theme="1"/>
      <name val="Arial"/>
      <family val="2"/>
    </font>
    <font>
      <sz val="9"/>
      <color theme="1"/>
      <name val="Calibri"/>
      <family val="2"/>
      <scheme val="minor"/>
    </font>
    <font>
      <b/>
      <sz val="9"/>
      <color theme="1"/>
      <name val="Calibri"/>
      <family val="2"/>
      <scheme val="minor"/>
    </font>
    <font>
      <sz val="9"/>
      <color indexed="8"/>
      <name val="Calibri"/>
      <family val="2"/>
    </font>
    <font>
      <b/>
      <sz val="9"/>
      <color rgb="FF333333"/>
      <name val="Arial"/>
      <family val="2"/>
    </font>
    <font>
      <sz val="9"/>
      <color rgb="FF212529"/>
      <name val="Arial"/>
      <family val="2"/>
    </font>
    <font>
      <sz val="11"/>
      <name val="Calibri"/>
      <family val="2"/>
      <scheme val="minor"/>
    </font>
    <font>
      <b/>
      <sz val="10"/>
      <color rgb="FF003300"/>
      <name val="Arial"/>
      <family val="2"/>
    </font>
    <font>
      <sz val="10"/>
      <color rgb="FF003300"/>
      <name val="Arial"/>
    </font>
    <font>
      <b/>
      <sz val="10"/>
      <color rgb="FF003300"/>
      <name val="Arial"/>
    </font>
    <font>
      <sz val="9"/>
      <name val="Arial"/>
      <family val="2"/>
    </font>
    <font>
      <sz val="9"/>
      <color theme="1"/>
      <name val="Arial"/>
      <family val="2"/>
    </font>
    <font>
      <sz val="9"/>
      <color rgb="FF003300"/>
      <name val="Arial"/>
      <family val="2"/>
    </font>
    <font>
      <sz val="9"/>
      <color theme="2" tint="-0.89999084444715716"/>
      <name val="Arial"/>
      <family val="2"/>
    </font>
    <font>
      <b/>
      <sz val="9"/>
      <name val="Arial"/>
      <family val="2"/>
    </font>
  </fonts>
  <fills count="27">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
      <patternFill patternType="solid">
        <fgColor rgb="FF00B050"/>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s>
  <borders count="49">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1" fillId="0" borderId="0"/>
    <xf numFmtId="0" fontId="3" fillId="0" borderId="0"/>
    <xf numFmtId="0" fontId="11" fillId="0" borderId="0"/>
    <xf numFmtId="9" fontId="25" fillId="0" borderId="0" applyFont="0" applyFill="0" applyBorder="0" applyAlignment="0" applyProtection="0"/>
    <xf numFmtId="0" fontId="1" fillId="0" borderId="0"/>
  </cellStyleXfs>
  <cellXfs count="536">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5" borderId="0" xfId="0" applyFont="1" applyFill="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0" xfId="0" applyFont="1" applyFill="1" applyBorder="1" applyAlignment="1">
      <alignment horizontal="center" vertical="center" wrapText="1"/>
    </xf>
    <xf numFmtId="0" fontId="15" fillId="15" borderId="0" xfId="0" applyFont="1" applyFill="1" applyAlignment="1">
      <alignment vertical="center" wrapText="1"/>
    </xf>
    <xf numFmtId="0" fontId="26" fillId="18" borderId="0" xfId="0" applyFont="1" applyFill="1"/>
    <xf numFmtId="0" fontId="10" fillId="0" borderId="10" xfId="0" applyFont="1" applyBorder="1" applyAlignment="1" applyProtection="1">
      <alignment vertical="center" wrapText="1"/>
      <protection locked="0"/>
    </xf>
    <xf numFmtId="0" fontId="1" fillId="9" borderId="10" xfId="0" applyFont="1" applyFill="1" applyBorder="1" applyAlignment="1" applyProtection="1">
      <alignment vertical="center" wrapText="1"/>
      <protection locked="0"/>
    </xf>
    <xf numFmtId="0" fontId="0" fillId="0" borderId="0" xfId="0" applyAlignment="1">
      <alignment vertical="center"/>
    </xf>
    <xf numFmtId="0" fontId="2" fillId="0" borderId="0" xfId="0" applyFont="1" applyAlignment="1">
      <alignment vertical="center"/>
    </xf>
    <xf numFmtId="0" fontId="27" fillId="0" borderId="0" xfId="0" applyFont="1"/>
    <xf numFmtId="1" fontId="0" fillId="0" borderId="0" xfId="0" applyNumberFormat="1"/>
    <xf numFmtId="0" fontId="0" fillId="0" borderId="0" xfId="5" applyNumberFormat="1" applyFont="1"/>
    <xf numFmtId="0" fontId="31" fillId="20" borderId="9" xfId="0" applyFont="1" applyFill="1" applyBorder="1" applyAlignment="1" applyProtection="1">
      <alignment horizontal="center"/>
      <protection hidden="1"/>
    </xf>
    <xf numFmtId="0" fontId="32" fillId="0" borderId="28"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10"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2" fillId="0" borderId="18" xfId="0" applyFont="1" applyBorder="1" applyAlignment="1" applyProtection="1">
      <alignment horizontal="center" vertical="center"/>
      <protection hidden="1"/>
    </xf>
    <xf numFmtId="0" fontId="32" fillId="0" borderId="3" xfId="0" applyFont="1" applyBorder="1" applyAlignment="1" applyProtection="1">
      <alignment horizontal="center" vertical="center" wrapText="1"/>
      <protection hidden="1"/>
    </xf>
    <xf numFmtId="0" fontId="32" fillId="0" borderId="7" xfId="0" applyFont="1" applyBorder="1" applyAlignment="1" applyProtection="1">
      <alignment horizontal="center" vertical="center"/>
      <protection hidden="1"/>
    </xf>
    <xf numFmtId="0" fontId="32" fillId="0" borderId="8" xfId="0" applyFont="1" applyBorder="1" applyAlignment="1" applyProtection="1">
      <alignment horizontal="center" vertical="center"/>
      <protection hidden="1"/>
    </xf>
    <xf numFmtId="0" fontId="32" fillId="0" borderId="8" xfId="0" applyFont="1" applyBorder="1" applyAlignment="1" applyProtection="1">
      <alignment horizontal="center" vertical="center" wrapText="1"/>
      <protection hidden="1"/>
    </xf>
    <xf numFmtId="0" fontId="32" fillId="0" borderId="9" xfId="0" applyFont="1" applyBorder="1" applyAlignment="1" applyProtection="1">
      <alignment horizontal="center" vertical="center" wrapText="1"/>
      <protection hidden="1"/>
    </xf>
    <xf numFmtId="0" fontId="1" fillId="9" borderId="10" xfId="0" applyFont="1" applyFill="1" applyBorder="1" applyAlignment="1" applyProtection="1">
      <alignment horizontal="justify" vertical="center" wrapText="1"/>
      <protection locked="0"/>
    </xf>
    <xf numFmtId="0" fontId="31" fillId="20" borderId="8" xfId="0" applyFont="1" applyFill="1" applyBorder="1" applyAlignment="1" applyProtection="1">
      <alignment horizontal="center"/>
      <protection hidden="1"/>
    </xf>
    <xf numFmtId="0" fontId="37" fillId="0" borderId="0" xfId="0" applyFont="1"/>
    <xf numFmtId="0" fontId="37" fillId="18" borderId="0" xfId="0" applyFont="1" applyFill="1"/>
    <xf numFmtId="0" fontId="37" fillId="22" borderId="0" xfId="0" applyFont="1" applyFill="1"/>
    <xf numFmtId="0" fontId="37" fillId="16" borderId="0" xfId="0" applyFont="1" applyFill="1"/>
    <xf numFmtId="0" fontId="38" fillId="15" borderId="0" xfId="0" applyFont="1" applyFill="1"/>
    <xf numFmtId="0" fontId="12" fillId="13" borderId="4" xfId="0" applyFont="1" applyFill="1" applyBorder="1" applyAlignment="1">
      <alignment horizontal="center" vertical="center"/>
    </xf>
    <xf numFmtId="0" fontId="14" fillId="0" borderId="10" xfId="0" applyFont="1" applyBorder="1" applyAlignment="1" applyProtection="1">
      <alignment horizontal="justify" vertical="center" wrapText="1"/>
      <protection locked="0"/>
    </xf>
    <xf numFmtId="0" fontId="1" fillId="0" borderId="10" xfId="0" applyFont="1" applyBorder="1" applyAlignment="1" applyProtection="1">
      <alignment vertical="center" wrapText="1"/>
      <protection locked="0"/>
    </xf>
    <xf numFmtId="0" fontId="0" fillId="0" borderId="10" xfId="0" applyBorder="1"/>
    <xf numFmtId="0" fontId="13" fillId="8" borderId="10" xfId="0" applyFont="1" applyFill="1" applyBorder="1" applyAlignment="1">
      <alignment vertical="center" wrapText="1"/>
    </xf>
    <xf numFmtId="0" fontId="13" fillId="14" borderId="31"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26" xfId="0" applyFont="1" applyFill="1" applyBorder="1" applyAlignment="1" applyProtection="1">
      <alignment horizontal="center" vertical="center" textRotation="90" wrapText="1"/>
      <protection locked="0" hidden="1"/>
    </xf>
    <xf numFmtId="0" fontId="13" fillId="14" borderId="32" xfId="0" applyFont="1" applyFill="1" applyBorder="1" applyAlignment="1">
      <alignment horizontal="center" vertical="center" wrapText="1"/>
    </xf>
    <xf numFmtId="0" fontId="0" fillId="10" borderId="0" xfId="0" applyFill="1"/>
    <xf numFmtId="0" fontId="2" fillId="10" borderId="5" xfId="0" applyFont="1" applyFill="1" applyBorder="1"/>
    <xf numFmtId="0" fontId="2" fillId="10" borderId="4" xfId="0" applyFont="1" applyFill="1" applyBorder="1"/>
    <xf numFmtId="0" fontId="2" fillId="10" borderId="6" xfId="0" applyFont="1" applyFill="1" applyBorder="1"/>
    <xf numFmtId="0" fontId="18" fillId="10" borderId="18" xfId="0" applyFont="1" applyFill="1" applyBorder="1"/>
    <xf numFmtId="0" fontId="18" fillId="10" borderId="3" xfId="0" applyFont="1" applyFill="1" applyBorder="1" applyAlignment="1">
      <alignment vertical="center" wrapText="1"/>
    </xf>
    <xf numFmtId="0" fontId="19" fillId="10" borderId="18" xfId="0" applyFont="1" applyFill="1" applyBorder="1" applyAlignment="1">
      <alignment wrapText="1"/>
    </xf>
    <xf numFmtId="0" fontId="19" fillId="10" borderId="3" xfId="0" applyFont="1" applyFill="1" applyBorder="1" applyAlignment="1">
      <alignment vertical="center" wrapText="1"/>
    </xf>
    <xf numFmtId="0" fontId="20" fillId="10" borderId="18" xfId="0" applyFont="1" applyFill="1" applyBorder="1"/>
    <xf numFmtId="0" fontId="20" fillId="10" borderId="3" xfId="0" applyFont="1" applyFill="1" applyBorder="1" applyAlignment="1">
      <alignment vertical="center" wrapText="1"/>
    </xf>
    <xf numFmtId="0" fontId="21" fillId="10" borderId="18" xfId="0" applyFont="1" applyFill="1" applyBorder="1" applyAlignment="1">
      <alignment wrapText="1"/>
    </xf>
    <xf numFmtId="0" fontId="21" fillId="10" borderId="3" xfId="0" applyFont="1" applyFill="1" applyBorder="1" applyAlignment="1">
      <alignment vertical="center" wrapText="1"/>
    </xf>
    <xf numFmtId="0" fontId="22" fillId="10" borderId="18" xfId="0" applyFont="1" applyFill="1" applyBorder="1" applyAlignment="1">
      <alignment wrapText="1"/>
    </xf>
    <xf numFmtId="0" fontId="22" fillId="10" borderId="3" xfId="0" applyFont="1" applyFill="1" applyBorder="1" applyAlignment="1">
      <alignment vertical="center" wrapText="1"/>
    </xf>
    <xf numFmtId="0" fontId="23" fillId="10" borderId="18" xfId="0" applyFont="1" applyFill="1" applyBorder="1" applyAlignment="1">
      <alignment wrapText="1"/>
    </xf>
    <xf numFmtId="0" fontId="23" fillId="10" borderId="3" xfId="0" applyFont="1" applyFill="1" applyBorder="1" applyAlignment="1">
      <alignment vertical="center" wrapText="1"/>
    </xf>
    <xf numFmtId="0" fontId="0" fillId="10" borderId="18" xfId="0" applyFill="1" applyBorder="1" applyAlignment="1">
      <alignment wrapText="1"/>
    </xf>
    <xf numFmtId="0" fontId="0" fillId="10" borderId="3" xfId="0" applyFill="1" applyBorder="1" applyAlignment="1">
      <alignment vertical="center"/>
    </xf>
    <xf numFmtId="0" fontId="0" fillId="10" borderId="7" xfId="0" applyFill="1" applyBorder="1" applyAlignment="1">
      <alignment wrapText="1"/>
    </xf>
    <xf numFmtId="0" fontId="0" fillId="10" borderId="8" xfId="0" applyFill="1" applyBorder="1" applyAlignment="1">
      <alignment wrapText="1"/>
    </xf>
    <xf numFmtId="0" fontId="0" fillId="10" borderId="9" xfId="0" applyFill="1" applyBorder="1"/>
    <xf numFmtId="0" fontId="0" fillId="10" borderId="0" xfId="0" applyFill="1" applyAlignment="1">
      <alignment wrapText="1"/>
    </xf>
    <xf numFmtId="0" fontId="1" fillId="10" borderId="4" xfId="0" applyFont="1" applyFill="1" applyBorder="1" applyAlignment="1" applyProtection="1">
      <alignment vertical="center" wrapText="1"/>
      <protection locked="0"/>
    </xf>
    <xf numFmtId="0" fontId="0" fillId="0" borderId="14" xfId="0" applyBorder="1"/>
    <xf numFmtId="0" fontId="41" fillId="0" borderId="0" xfId="0" applyFont="1"/>
    <xf numFmtId="0" fontId="42" fillId="0" borderId="0" xfId="0" applyFont="1"/>
    <xf numFmtId="0" fontId="43" fillId="0" borderId="0" xfId="3" applyFont="1" applyAlignment="1">
      <alignment vertical="center"/>
    </xf>
    <xf numFmtId="0" fontId="44" fillId="17" borderId="24" xfId="0" applyFont="1" applyFill="1" applyBorder="1" applyAlignment="1">
      <alignment vertical="center" wrapText="1"/>
    </xf>
    <xf numFmtId="0" fontId="41" fillId="17" borderId="0" xfId="0" applyFont="1" applyFill="1"/>
    <xf numFmtId="0" fontId="41" fillId="0" borderId="0" xfId="0" applyFont="1" applyAlignment="1">
      <alignment vertical="center"/>
    </xf>
    <xf numFmtId="0" fontId="0" fillId="0" borderId="10" xfId="0" applyBorder="1" applyProtection="1">
      <protection locked="0"/>
    </xf>
    <xf numFmtId="0" fontId="3" fillId="0" borderId="34" xfId="3" applyBorder="1"/>
    <xf numFmtId="0" fontId="8" fillId="6" borderId="35" xfId="3" applyFont="1" applyFill="1" applyBorder="1" applyAlignment="1">
      <alignment horizontal="center" vertical="center"/>
    </xf>
    <xf numFmtId="0" fontId="6" fillId="0" borderId="36" xfId="3" applyFont="1" applyBorder="1"/>
    <xf numFmtId="0" fontId="6" fillId="0" borderId="34" xfId="3" applyFont="1" applyBorder="1"/>
    <xf numFmtId="0" fontId="8" fillId="7" borderId="35" xfId="3" applyFont="1" applyFill="1" applyBorder="1" applyAlignment="1">
      <alignment horizontal="center" vertical="center"/>
    </xf>
    <xf numFmtId="0" fontId="8" fillId="4" borderId="35" xfId="3" applyFont="1" applyFill="1" applyBorder="1" applyAlignment="1">
      <alignment horizontal="center" vertical="center"/>
    </xf>
    <xf numFmtId="0" fontId="8" fillId="0" borderId="37" xfId="3" applyFont="1" applyBorder="1"/>
    <xf numFmtId="0" fontId="8" fillId="3" borderId="35" xfId="3" applyFont="1" applyFill="1" applyBorder="1" applyAlignment="1">
      <alignment horizontal="center" vertical="center"/>
    </xf>
    <xf numFmtId="0" fontId="3" fillId="0" borderId="38" xfId="3" applyBorder="1"/>
    <xf numFmtId="0" fontId="3" fillId="0" borderId="38" xfId="3"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16" borderId="18" xfId="0" applyFont="1" applyFill="1" applyBorder="1" applyAlignment="1">
      <alignment horizontal="center" vertical="center"/>
    </xf>
    <xf numFmtId="0" fontId="1" fillId="10" borderId="10" xfId="0" applyFont="1" applyFill="1" applyBorder="1" applyAlignment="1">
      <alignment horizontal="center" vertical="center" wrapText="1"/>
    </xf>
    <xf numFmtId="0" fontId="1" fillId="9" borderId="10" xfId="0" applyFont="1" applyFill="1" applyBorder="1" applyAlignment="1" applyProtection="1">
      <alignment horizontal="center" vertical="center" wrapText="1"/>
      <protection locked="0"/>
    </xf>
    <xf numFmtId="0" fontId="13" fillId="8" borderId="10" xfId="0" applyFont="1" applyFill="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1" fillId="9" borderId="4" xfId="0" applyFont="1" applyFill="1" applyBorder="1" applyAlignment="1" applyProtection="1">
      <alignment horizontal="justify" vertical="center" wrapText="1"/>
      <protection locked="0"/>
    </xf>
    <xf numFmtId="0" fontId="10" fillId="0" borderId="4" xfId="0" applyFont="1" applyBorder="1" applyAlignment="1" applyProtection="1">
      <alignment vertical="center" wrapText="1"/>
      <protection locked="0"/>
    </xf>
    <xf numFmtId="0" fontId="1" fillId="9" borderId="4" xfId="0" applyFont="1" applyFill="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justify" vertical="center" wrapText="1"/>
      <protection locked="0"/>
    </xf>
    <xf numFmtId="0" fontId="1" fillId="0" borderId="4" xfId="0" applyFont="1" applyBorder="1" applyAlignment="1" applyProtection="1">
      <alignment vertical="center" wrapText="1"/>
      <protection locked="0"/>
    </xf>
    <xf numFmtId="0" fontId="1" fillId="0" borderId="4" xfId="0" applyFont="1" applyBorder="1" applyAlignment="1">
      <alignment horizontal="center" vertical="center" wrapText="1"/>
    </xf>
    <xf numFmtId="0" fontId="13" fillId="8" borderId="4" xfId="0" applyFon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4" xfId="0" applyBorder="1" applyProtection="1">
      <protection locked="0"/>
    </xf>
    <xf numFmtId="0" fontId="0" fillId="0" borderId="4" xfId="0" applyBorder="1"/>
    <xf numFmtId="0" fontId="13" fillId="10" borderId="4" xfId="0" applyFont="1" applyFill="1" applyBorder="1" applyAlignment="1">
      <alignment horizontal="center" vertical="center" wrapText="1"/>
    </xf>
    <xf numFmtId="0" fontId="13" fillId="8" borderId="4" xfId="0" applyFont="1" applyFill="1" applyBorder="1" applyAlignment="1">
      <alignment vertical="center" wrapText="1"/>
    </xf>
    <xf numFmtId="0" fontId="1" fillId="9" borderId="41" xfId="0" applyFont="1" applyFill="1" applyBorder="1" applyAlignment="1" applyProtection="1">
      <alignment horizontal="justify" vertical="center" wrapText="1"/>
      <protection locked="0"/>
    </xf>
    <xf numFmtId="0" fontId="10" fillId="0" borderId="8"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 fillId="9" borderId="41" xfId="0" applyFont="1" applyFill="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vertical="center" wrapText="1"/>
      <protection locked="0"/>
    </xf>
    <xf numFmtId="0" fontId="1" fillId="0" borderId="8" xfId="0" applyFont="1" applyBorder="1" applyAlignment="1">
      <alignment horizontal="center" vertical="center" wrapText="1"/>
    </xf>
    <xf numFmtId="0" fontId="13" fillId="8" borderId="8"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41" xfId="0" applyBorder="1" applyProtection="1">
      <protection locked="0"/>
    </xf>
    <xf numFmtId="0" fontId="0" fillId="0" borderId="41" xfId="0" applyBorder="1" applyAlignment="1" applyProtection="1">
      <alignment horizontal="left" vertical="center" wrapText="1"/>
      <protection locked="0"/>
    </xf>
    <xf numFmtId="0" fontId="0" fillId="0" borderId="8" xfId="0" applyBorder="1"/>
    <xf numFmtId="0" fontId="13" fillId="10" borderId="8" xfId="0" applyFont="1" applyFill="1" applyBorder="1" applyAlignment="1">
      <alignment horizontal="center" vertical="center" wrapText="1"/>
    </xf>
    <xf numFmtId="0" fontId="13" fillId="8" borderId="8" xfId="0" applyFont="1" applyFill="1" applyBorder="1" applyAlignment="1">
      <alignment vertical="center" wrapText="1"/>
    </xf>
    <xf numFmtId="0" fontId="10"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4" xfId="0" applyBorder="1" applyAlignment="1" applyProtection="1">
      <alignment horizontal="justify" vertical="center" wrapText="1"/>
      <protection locked="0"/>
    </xf>
    <xf numFmtId="0" fontId="13" fillId="0" borderId="4" xfId="0" applyFont="1" applyBorder="1" applyAlignment="1">
      <alignment horizontal="center" vertical="center" wrapText="1"/>
    </xf>
    <xf numFmtId="0" fontId="10" fillId="0" borderId="8" xfId="0" applyFont="1" applyBorder="1" applyAlignment="1" applyProtection="1">
      <alignment horizontal="justify" vertical="center" wrapText="1"/>
      <protection locked="0"/>
    </xf>
    <xf numFmtId="0" fontId="10" fillId="0" borderId="41" xfId="0" applyFont="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9" borderId="41"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justify" vertical="center" wrapText="1"/>
      <protection locked="0"/>
    </xf>
    <xf numFmtId="0" fontId="13" fillId="0" borderId="8" xfId="0" applyFont="1" applyBorder="1" applyAlignment="1">
      <alignment horizontal="center" vertical="center" wrapText="1"/>
    </xf>
    <xf numFmtId="0" fontId="1" fillId="9" borderId="14" xfId="0" applyFont="1" applyFill="1" applyBorder="1" applyAlignment="1" applyProtection="1">
      <alignment horizontal="left" vertical="center" wrapText="1"/>
      <protection locked="0"/>
    </xf>
    <xf numFmtId="0" fontId="1" fillId="16" borderId="5" xfId="0" applyFont="1" applyFill="1" applyBorder="1" applyAlignment="1">
      <alignment horizontal="center" vertical="center"/>
    </xf>
    <xf numFmtId="0" fontId="1" fillId="10" borderId="4" xfId="0" applyFont="1" applyFill="1" applyBorder="1" applyAlignment="1" applyProtection="1">
      <alignment horizontal="center" vertical="center" wrapText="1"/>
      <protection locked="0"/>
    </xf>
    <xf numFmtId="0" fontId="1" fillId="10" borderId="4" xfId="0" applyFont="1" applyFill="1" applyBorder="1" applyAlignment="1">
      <alignment horizontal="center" vertical="center" wrapText="1"/>
    </xf>
    <xf numFmtId="0" fontId="1" fillId="9" borderId="4" xfId="0" applyFont="1" applyFill="1" applyBorder="1" applyAlignment="1" applyProtection="1">
      <alignment horizontal="left" vertical="center" wrapText="1"/>
      <protection locked="0"/>
    </xf>
    <xf numFmtId="0" fontId="1" fillId="8" borderId="4" xfId="0" applyFont="1" applyFill="1" applyBorder="1" applyAlignment="1">
      <alignment horizontal="center" vertical="center" wrapText="1"/>
    </xf>
    <xf numFmtId="0" fontId="1" fillId="8"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1" fillId="0" borderId="4" xfId="0" applyFont="1" applyBorder="1" applyAlignment="1">
      <alignment vertical="center" wrapText="1"/>
    </xf>
    <xf numFmtId="0" fontId="1" fillId="23" borderId="4" xfId="0" applyFont="1" applyFill="1" applyBorder="1" applyAlignment="1">
      <alignment vertical="center" wrapText="1"/>
    </xf>
    <xf numFmtId="0" fontId="1" fillId="0" borderId="6" xfId="0" applyFont="1" applyBorder="1" applyAlignment="1" applyProtection="1">
      <alignment horizontal="center" vertical="center" wrapText="1"/>
      <protection locked="0"/>
    </xf>
    <xf numFmtId="0" fontId="1" fillId="16" borderId="42" xfId="0" applyFont="1" applyFill="1" applyBorder="1" applyAlignment="1">
      <alignment horizontal="center" vertical="center"/>
    </xf>
    <xf numFmtId="0" fontId="1" fillId="10" borderId="41" xfId="0" applyFont="1" applyFill="1" applyBorder="1" applyAlignment="1" applyProtection="1">
      <alignment horizontal="center" vertical="center" wrapText="1"/>
      <protection locked="0"/>
    </xf>
    <xf numFmtId="0" fontId="1" fillId="10" borderId="8" xfId="0" applyFont="1" applyFill="1" applyBorder="1" applyAlignment="1">
      <alignment horizontal="center" vertical="center" wrapText="1"/>
    </xf>
    <xf numFmtId="0" fontId="1" fillId="9" borderId="8" xfId="0" applyFont="1" applyFill="1" applyBorder="1" applyAlignment="1" applyProtection="1">
      <alignment horizontal="left" vertical="center" wrapText="1"/>
      <protection locked="0"/>
    </xf>
    <xf numFmtId="0" fontId="1" fillId="9" borderId="8" xfId="0" applyFont="1" applyFill="1" applyBorder="1" applyAlignment="1" applyProtection="1">
      <alignment horizontal="justify" vertical="center" wrapText="1"/>
      <protection locked="0"/>
    </xf>
    <xf numFmtId="0" fontId="1" fillId="8" borderId="41" xfId="0" applyFont="1" applyFill="1" applyBorder="1" applyAlignment="1">
      <alignment horizontal="center" vertical="center" wrapText="1"/>
    </xf>
    <xf numFmtId="0" fontId="1" fillId="8" borderId="41" xfId="0" applyFont="1" applyFill="1" applyBorder="1" applyAlignment="1" applyProtection="1">
      <alignment horizontal="center" vertical="center" wrapText="1"/>
      <protection locked="0"/>
    </xf>
    <xf numFmtId="0" fontId="1" fillId="0" borderId="41" xfId="0" applyFont="1" applyBorder="1" applyAlignment="1">
      <alignment horizontal="center" vertical="center" wrapText="1"/>
    </xf>
    <xf numFmtId="0" fontId="1" fillId="0" borderId="41" xfId="0" applyFont="1" applyBorder="1" applyAlignment="1" applyProtection="1">
      <alignment horizontal="center" vertical="center" wrapText="1"/>
      <protection locked="0"/>
    </xf>
    <xf numFmtId="0" fontId="14" fillId="0" borderId="41" xfId="0" applyFont="1" applyBorder="1" applyAlignment="1" applyProtection="1">
      <alignment horizontal="justify" vertical="center" wrapText="1"/>
      <protection locked="0"/>
    </xf>
    <xf numFmtId="0" fontId="13" fillId="8" borderId="41" xfId="0" applyFont="1" applyFill="1" applyBorder="1" applyAlignment="1">
      <alignment horizontal="center" vertical="center" wrapText="1"/>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41" xfId="0" applyBorder="1" applyAlignment="1">
      <alignment horizontal="center" vertical="center"/>
    </xf>
    <xf numFmtId="0" fontId="0" fillId="0" borderId="41" xfId="0" applyBorder="1"/>
    <xf numFmtId="0" fontId="13" fillId="10" borderId="41" xfId="0" applyFont="1" applyFill="1" applyBorder="1" applyAlignment="1">
      <alignment horizontal="center" vertical="center" wrapText="1"/>
    </xf>
    <xf numFmtId="0" fontId="13" fillId="8" borderId="41" xfId="0" applyFont="1" applyFill="1" applyBorder="1" applyAlignment="1">
      <alignment vertical="center" wrapText="1"/>
    </xf>
    <xf numFmtId="0" fontId="1" fillId="0" borderId="8" xfId="0" applyFont="1" applyBorder="1" applyAlignment="1">
      <alignment vertical="center" wrapText="1"/>
    </xf>
    <xf numFmtId="0" fontId="1" fillId="0" borderId="9" xfId="0" applyFont="1" applyBorder="1" applyAlignment="1" applyProtection="1">
      <alignment horizontal="center" vertical="center" wrapText="1"/>
      <protection locked="0"/>
    </xf>
    <xf numFmtId="0" fontId="0" fillId="0" borderId="4" xfId="0" applyBorder="1" applyAlignment="1">
      <alignment vertical="center" wrapText="1"/>
    </xf>
    <xf numFmtId="0" fontId="1" fillId="0" borderId="8" xfId="0" applyFont="1" applyBorder="1" applyAlignment="1" applyProtection="1">
      <alignment vertical="center"/>
      <protection locked="0"/>
    </xf>
    <xf numFmtId="0" fontId="1" fillId="0" borderId="8" xfId="0" applyFont="1" applyBorder="1" applyAlignment="1" applyProtection="1">
      <alignment horizontal="center" vertical="center"/>
      <protection locked="0"/>
    </xf>
    <xf numFmtId="0" fontId="0" fillId="0" borderId="41" xfId="0" applyBorder="1" applyAlignment="1" applyProtection="1">
      <alignment vertical="center" wrapText="1"/>
      <protection locked="0"/>
    </xf>
    <xf numFmtId="0" fontId="0" fillId="0" borderId="10"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lignment vertical="center"/>
    </xf>
    <xf numFmtId="0" fontId="0" fillId="0" borderId="8" xfId="0" applyBorder="1" applyAlignment="1" applyProtection="1">
      <alignment vertical="center"/>
      <protection locked="0"/>
    </xf>
    <xf numFmtId="0" fontId="0" fillId="0" borderId="41" xfId="0" applyBorder="1" applyAlignment="1" applyProtection="1">
      <alignment vertical="center"/>
      <protection locked="0"/>
    </xf>
    <xf numFmtId="0" fontId="0" fillId="0" borderId="8" xfId="0" applyBorder="1" applyAlignment="1">
      <alignment vertical="center"/>
    </xf>
    <xf numFmtId="0" fontId="0" fillId="0" borderId="8" xfId="0" applyBorder="1" applyAlignment="1">
      <alignment vertical="center" wrapText="1"/>
    </xf>
    <xf numFmtId="0" fontId="0" fillId="0" borderId="10" xfId="0" applyBorder="1" applyAlignment="1" applyProtection="1">
      <alignment wrapText="1"/>
      <protection locked="0"/>
    </xf>
    <xf numFmtId="0" fontId="1" fillId="9" borderId="39" xfId="0" applyFont="1" applyFill="1" applyBorder="1" applyAlignment="1" applyProtection="1">
      <alignment horizontal="left" vertical="center" wrapText="1"/>
      <protection locked="0"/>
    </xf>
    <xf numFmtId="14" fontId="1" fillId="0" borderId="10" xfId="0" applyNumberFormat="1" applyFont="1" applyBorder="1" applyAlignment="1" applyProtection="1">
      <alignment horizontal="center" vertical="center" wrapText="1"/>
      <protection locked="0"/>
    </xf>
    <xf numFmtId="0" fontId="14" fillId="0" borderId="10" xfId="0" applyFont="1" applyBorder="1" applyAlignment="1" applyProtection="1">
      <alignment vertical="center" wrapText="1"/>
      <protection locked="0"/>
    </xf>
    <xf numFmtId="0" fontId="1" fillId="9" borderId="14" xfId="0" applyFont="1" applyFill="1" applyBorder="1" applyAlignment="1" applyProtection="1">
      <alignment horizontal="justify" vertical="center" wrapText="1"/>
      <protection locked="0"/>
    </xf>
    <xf numFmtId="0" fontId="10" fillId="0" borderId="40"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1" fillId="9" borderId="40" xfId="0" applyFont="1" applyFill="1" applyBorder="1" applyAlignment="1" applyProtection="1">
      <alignment vertical="center" wrapText="1"/>
      <protection locked="0"/>
    </xf>
    <xf numFmtId="0" fontId="1" fillId="9" borderId="14" xfId="0" applyFont="1" applyFill="1" applyBorder="1" applyAlignment="1" applyProtection="1">
      <alignment vertical="center" wrapText="1"/>
      <protection locked="0"/>
    </xf>
    <xf numFmtId="0" fontId="1" fillId="0" borderId="40" xfId="0" applyFont="1" applyBorder="1" applyAlignment="1" applyProtection="1">
      <alignment horizontal="center" vertical="center" wrapText="1"/>
      <protection locked="0"/>
    </xf>
    <xf numFmtId="0" fontId="14" fillId="0" borderId="40" xfId="0" applyFont="1" applyBorder="1" applyAlignment="1" applyProtection="1">
      <alignment horizontal="justify" vertical="center" wrapText="1"/>
      <protection locked="0"/>
    </xf>
    <xf numFmtId="0" fontId="1" fillId="0" borderId="40" xfId="0" applyFont="1" applyBorder="1" applyAlignment="1" applyProtection="1">
      <alignment vertical="center" wrapText="1"/>
      <protection locked="0"/>
    </xf>
    <xf numFmtId="0" fontId="1" fillId="0" borderId="40" xfId="0" applyFont="1" applyBorder="1" applyAlignment="1">
      <alignment horizontal="center" vertical="center" wrapText="1"/>
    </xf>
    <xf numFmtId="0" fontId="13" fillId="8" borderId="40" xfId="0" applyFont="1" applyFill="1" applyBorder="1" applyAlignment="1">
      <alignment horizontal="center" vertical="center" wrapText="1"/>
    </xf>
    <xf numFmtId="0" fontId="0" fillId="0" borderId="40" xfId="0" applyBorder="1" applyAlignment="1" applyProtection="1">
      <alignment vertical="center" wrapText="1"/>
      <protection locked="0"/>
    </xf>
    <xf numFmtId="0" fontId="0" fillId="0" borderId="14" xfId="0" applyBorder="1" applyProtection="1">
      <protection locked="0"/>
    </xf>
    <xf numFmtId="0" fontId="0" fillId="0" borderId="40" xfId="0" applyBorder="1"/>
    <xf numFmtId="0" fontId="13" fillId="10" borderId="40" xfId="0" applyFont="1" applyFill="1" applyBorder="1" applyAlignment="1">
      <alignment horizontal="center" vertical="center" wrapText="1"/>
    </xf>
    <xf numFmtId="0" fontId="13" fillId="8" borderId="40" xfId="0" applyFont="1" applyFill="1" applyBorder="1" applyAlignment="1">
      <alignment vertical="center" wrapText="1"/>
    </xf>
    <xf numFmtId="0" fontId="1" fillId="0" borderId="4" xfId="0" applyFont="1" applyBorder="1" applyAlignment="1" applyProtection="1">
      <alignment horizontal="left" vertical="center" wrapText="1"/>
      <protection locked="0"/>
    </xf>
    <xf numFmtId="14" fontId="1" fillId="0" borderId="4"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justify" vertical="center" wrapText="1"/>
      <protection locked="0"/>
    </xf>
    <xf numFmtId="0" fontId="0" fillId="0" borderId="4" xfId="0" applyBorder="1" applyAlignment="1" applyProtection="1">
      <alignment wrapText="1"/>
      <protection locked="0"/>
    </xf>
    <xf numFmtId="0" fontId="48" fillId="0" borderId="8" xfId="0" applyFont="1" applyBorder="1" applyAlignment="1" applyProtection="1">
      <alignment horizontal="justify" vertical="center" wrapText="1"/>
      <protection locked="0"/>
    </xf>
    <xf numFmtId="0" fontId="0" fillId="0" borderId="8" xfId="0" applyBorder="1" applyAlignment="1" applyProtection="1">
      <alignment wrapText="1"/>
      <protection locked="0"/>
    </xf>
    <xf numFmtId="0" fontId="50" fillId="9" borderId="10" xfId="0" applyFont="1" applyFill="1" applyBorder="1" applyAlignment="1" applyProtection="1">
      <alignment horizontal="center" vertical="center" wrapText="1"/>
      <protection locked="0"/>
    </xf>
    <xf numFmtId="0" fontId="51" fillId="0" borderId="10" xfId="0" applyFont="1" applyBorder="1" applyAlignment="1" applyProtection="1">
      <alignment horizontal="center" vertical="center" wrapText="1"/>
      <protection locked="0"/>
    </xf>
    <xf numFmtId="0" fontId="52" fillId="0" borderId="10" xfId="0" applyFont="1" applyBorder="1" applyAlignment="1" applyProtection="1">
      <alignment horizontal="justify" vertical="center" wrapText="1"/>
      <protection locked="0"/>
    </xf>
    <xf numFmtId="0" fontId="41" fillId="0" borderId="10" xfId="0" applyFont="1" applyBorder="1" applyAlignment="1" applyProtection="1">
      <alignment horizontal="center" vertical="center" wrapText="1"/>
      <protection locked="0"/>
    </xf>
    <xf numFmtId="0" fontId="50" fillId="9" borderId="4" xfId="0" applyFont="1" applyFill="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52" fillId="0" borderId="4" xfId="0" applyFont="1" applyBorder="1" applyAlignment="1" applyProtection="1">
      <alignment horizontal="justify" vertical="center" wrapText="1"/>
      <protection locked="0"/>
    </xf>
    <xf numFmtId="0" fontId="50" fillId="0" borderId="4" xfId="0" applyFont="1" applyBorder="1" applyAlignment="1">
      <alignment horizontal="center" vertical="center" wrapText="1"/>
    </xf>
    <xf numFmtId="0" fontId="41" fillId="0" borderId="4" xfId="0" applyFont="1" applyBorder="1" applyAlignment="1" applyProtection="1">
      <alignment horizontal="center" vertical="center" wrapText="1"/>
      <protection locked="0"/>
    </xf>
    <xf numFmtId="0" fontId="41" fillId="0" borderId="4" xfId="0" applyFont="1" applyBorder="1"/>
    <xf numFmtId="0" fontId="54" fillId="10" borderId="4" xfId="0" applyFont="1" applyFill="1" applyBorder="1" applyAlignment="1">
      <alignment horizontal="center" vertical="center" wrapText="1"/>
    </xf>
    <xf numFmtId="0" fontId="54" fillId="8" borderId="4" xfId="0" applyFont="1" applyFill="1" applyBorder="1" applyAlignment="1">
      <alignment horizontal="center" vertical="center" wrapText="1"/>
    </xf>
    <xf numFmtId="0" fontId="54" fillId="8" borderId="4" xfId="0" applyFont="1" applyFill="1" applyBorder="1" applyAlignment="1">
      <alignment vertical="center" wrapText="1"/>
    </xf>
    <xf numFmtId="0" fontId="50" fillId="0" borderId="4" xfId="0" applyFont="1" applyBorder="1" applyAlignment="1" applyProtection="1">
      <alignment horizontal="center" vertical="center" wrapText="1"/>
      <protection locked="0"/>
    </xf>
    <xf numFmtId="0" fontId="1" fillId="0" borderId="4" xfId="0" applyFont="1" applyBorder="1" applyAlignment="1" applyProtection="1">
      <alignment horizontal="justify" vertical="center" wrapText="1"/>
      <protection locked="0"/>
    </xf>
    <xf numFmtId="0" fontId="46" fillId="0" borderId="4"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protection locked="0"/>
    </xf>
    <xf numFmtId="0" fontId="46" fillId="0" borderId="4" xfId="0" applyFont="1" applyBorder="1" applyAlignment="1">
      <alignment horizontal="center" vertical="center"/>
    </xf>
    <xf numFmtId="0" fontId="46" fillId="0" borderId="4" xfId="0" applyFont="1" applyBorder="1"/>
    <xf numFmtId="0" fontId="13" fillId="0" borderId="4" xfId="0" applyFont="1" applyBorder="1" applyAlignment="1">
      <alignment vertical="center" wrapText="1"/>
    </xf>
    <xf numFmtId="0" fontId="1" fillId="0" borderId="8" xfId="0" applyFont="1" applyBorder="1" applyAlignment="1" applyProtection="1">
      <alignment horizontal="justify" vertical="center" wrapText="1"/>
      <protection locked="0"/>
    </xf>
    <xf numFmtId="0" fontId="13" fillId="0" borderId="8" xfId="0" applyFont="1" applyBorder="1" applyAlignment="1">
      <alignment vertical="center" wrapText="1"/>
    </xf>
    <xf numFmtId="0" fontId="1" fillId="0" borderId="8" xfId="0" applyFont="1" applyBorder="1" applyAlignment="1" applyProtection="1">
      <alignment horizontal="left" vertical="center"/>
      <protection locked="0"/>
    </xf>
    <xf numFmtId="0" fontId="46" fillId="0" borderId="8" xfId="0" applyFont="1" applyBorder="1" applyAlignment="1" applyProtection="1">
      <alignment vertical="center" wrapText="1"/>
      <protection locked="0"/>
    </xf>
    <xf numFmtId="0" fontId="46" fillId="0" borderId="8" xfId="0" applyFont="1" applyBorder="1" applyAlignment="1" applyProtection="1">
      <alignment horizontal="left" vertical="center"/>
      <protection locked="0"/>
    </xf>
    <xf numFmtId="0" fontId="46" fillId="0" borderId="8" xfId="0" applyFont="1" applyBorder="1"/>
    <xf numFmtId="0" fontId="46" fillId="0" borderId="8" xfId="0" applyFont="1" applyBorder="1" applyProtection="1">
      <protection locked="0"/>
    </xf>
    <xf numFmtId="0" fontId="50" fillId="0" borderId="8" xfId="0" applyFont="1" applyBorder="1" applyAlignment="1" applyProtection="1">
      <alignment horizontal="center" vertical="center" wrapText="1"/>
      <protection locked="0"/>
    </xf>
    <xf numFmtId="0" fontId="50" fillId="9" borderId="8" xfId="0" applyFont="1" applyFill="1" applyBorder="1" applyAlignment="1" applyProtection="1">
      <alignment horizontal="center" vertical="center" wrapText="1"/>
      <protection locked="0"/>
    </xf>
    <xf numFmtId="0" fontId="51" fillId="0" borderId="8" xfId="0" applyFont="1" applyBorder="1" applyAlignment="1" applyProtection="1">
      <alignment horizontal="center" vertical="center" wrapText="1"/>
      <protection locked="0"/>
    </xf>
    <xf numFmtId="0" fontId="50" fillId="0" borderId="8" xfId="0" applyFont="1" applyBorder="1" applyAlignment="1">
      <alignment horizontal="center" vertical="center" wrapText="1"/>
    </xf>
    <xf numFmtId="0" fontId="52" fillId="0" borderId="8" xfId="0" applyFont="1" applyBorder="1" applyAlignment="1" applyProtection="1">
      <alignment horizontal="justify" vertical="center" wrapText="1"/>
      <protection locked="0"/>
    </xf>
    <xf numFmtId="0" fontId="50" fillId="0" borderId="8" xfId="0" applyFont="1" applyBorder="1" applyAlignment="1" applyProtection="1">
      <alignment horizontal="center" vertical="center"/>
      <protection locked="0"/>
    </xf>
    <xf numFmtId="0" fontId="54" fillId="8" borderId="8" xfId="0" applyFont="1" applyFill="1" applyBorder="1" applyAlignment="1">
      <alignment horizontal="center" vertical="center" wrapText="1"/>
    </xf>
    <xf numFmtId="0" fontId="41" fillId="0" borderId="8" xfId="0" applyFont="1" applyBorder="1" applyAlignment="1" applyProtection="1">
      <alignment horizontal="center" vertical="center" wrapText="1"/>
      <protection locked="0"/>
    </xf>
    <xf numFmtId="0" fontId="41" fillId="0" borderId="8" xfId="0" applyFont="1" applyBorder="1"/>
    <xf numFmtId="0" fontId="54" fillId="10" borderId="8" xfId="0" applyFont="1" applyFill="1" applyBorder="1" applyAlignment="1">
      <alignment horizontal="center" vertical="center" wrapText="1"/>
    </xf>
    <xf numFmtId="0" fontId="54" fillId="8" borderId="8" xfId="0" applyFont="1" applyFill="1" applyBorder="1" applyAlignment="1">
      <alignment vertical="center" wrapText="1"/>
    </xf>
    <xf numFmtId="0" fontId="48" fillId="0" borderId="10" xfId="0" applyFont="1" applyBorder="1" applyAlignment="1" applyProtection="1">
      <alignment horizontal="justify" vertical="center" wrapText="1"/>
      <protection locked="0"/>
    </xf>
    <xf numFmtId="0" fontId="0" fillId="0" borderId="40" xfId="0" applyBorder="1" applyAlignment="1" applyProtection="1">
      <alignment wrapText="1"/>
      <protection locked="0"/>
    </xf>
    <xf numFmtId="0" fontId="1" fillId="0" borderId="40" xfId="0" applyFont="1" applyBorder="1" applyAlignment="1" applyProtection="1">
      <alignment horizontal="center" vertical="center"/>
      <protection locked="0"/>
    </xf>
    <xf numFmtId="0" fontId="1" fillId="0" borderId="40" xfId="0" applyFont="1" applyBorder="1" applyAlignment="1" applyProtection="1">
      <alignment vertical="center"/>
      <protection locked="0"/>
    </xf>
    <xf numFmtId="0" fontId="0" fillId="0" borderId="14" xfId="0" applyBorder="1" applyAlignment="1" applyProtection="1">
      <alignment vertical="center" wrapText="1"/>
      <protection locked="0"/>
    </xf>
    <xf numFmtId="0" fontId="0" fillId="0" borderId="10" xfId="0" applyBorder="1" applyAlignment="1" applyProtection="1">
      <alignment horizontal="center" vertical="center"/>
      <protection locked="0"/>
    </xf>
    <xf numFmtId="0" fontId="48" fillId="0" borderId="40" xfId="0" applyFont="1" applyBorder="1" applyAlignment="1" applyProtection="1">
      <alignment horizontal="justify" vertical="center" wrapText="1"/>
      <protection locked="0"/>
    </xf>
    <xf numFmtId="0" fontId="1" fillId="0" borderId="40" xfId="0" applyFont="1" applyBorder="1" applyProtection="1">
      <protection locked="0"/>
    </xf>
    <xf numFmtId="0" fontId="0" fillId="0" borderId="40" xfId="0" applyBorder="1" applyProtection="1">
      <protection locked="0"/>
    </xf>
    <xf numFmtId="0" fontId="0" fillId="0" borderId="14" xfId="0" applyBorder="1" applyAlignment="1" applyProtection="1">
      <alignment horizontal="center" vertical="center"/>
      <protection locked="0"/>
    </xf>
    <xf numFmtId="0" fontId="0" fillId="0" borderId="45" xfId="0" applyBorder="1"/>
    <xf numFmtId="0" fontId="0" fillId="0" borderId="46" xfId="0" applyBorder="1"/>
    <xf numFmtId="0" fontId="0" fillId="14" borderId="46" xfId="0" applyFill="1" applyBorder="1"/>
    <xf numFmtId="0" fontId="12" fillId="13" borderId="40" xfId="0" applyFont="1" applyFill="1" applyBorder="1" applyAlignment="1">
      <alignment horizontal="center" vertical="center" wrapText="1"/>
    </xf>
    <xf numFmtId="0" fontId="41" fillId="0" borderId="0" xfId="0" applyFont="1" applyAlignment="1">
      <alignment horizontal="center"/>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21" xfId="0" applyFill="1" applyBorder="1" applyAlignment="1">
      <alignment horizontal="center" vertical="center" wrapText="1"/>
    </xf>
    <xf numFmtId="0" fontId="39" fillId="10" borderId="15" xfId="0" applyFont="1" applyFill="1" applyBorder="1" applyAlignment="1">
      <alignment horizontal="center" vertical="center" wrapText="1"/>
    </xf>
    <xf numFmtId="0" fontId="39" fillId="10" borderId="16"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22" xfId="0" applyFont="1" applyFill="1" applyBorder="1" applyAlignment="1">
      <alignment horizontal="center" vertical="center" wrapText="1"/>
    </xf>
    <xf numFmtId="0" fontId="39" fillId="10" borderId="0" xfId="0" applyFont="1" applyFill="1" applyAlignment="1">
      <alignment horizontal="center" vertical="center" wrapText="1"/>
    </xf>
    <xf numFmtId="0" fontId="39" fillId="10" borderId="23" xfId="0" applyFont="1" applyFill="1" applyBorder="1" applyAlignment="1">
      <alignment horizontal="center" vertical="center" wrapText="1"/>
    </xf>
    <xf numFmtId="0" fontId="39" fillId="10" borderId="11" xfId="0" applyFont="1" applyFill="1" applyBorder="1" applyAlignment="1">
      <alignment horizontal="center" vertical="center" wrapText="1"/>
    </xf>
    <xf numFmtId="0" fontId="39" fillId="10" borderId="12"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26" fillId="18" borderId="25" xfId="0" applyFont="1" applyFill="1" applyBorder="1" applyAlignment="1">
      <alignment horizontal="center"/>
    </xf>
    <xf numFmtId="0" fontId="26" fillId="18" borderId="46" xfId="0" applyFont="1" applyFill="1" applyBorder="1" applyAlignment="1">
      <alignment horizontal="center"/>
    </xf>
    <xf numFmtId="0" fontId="26" fillId="18" borderId="47" xfId="0" applyFont="1" applyFill="1" applyBorder="1" applyAlignment="1">
      <alignment horizontal="center"/>
    </xf>
    <xf numFmtId="0" fontId="26" fillId="18" borderId="33" xfId="0" applyFont="1" applyFill="1" applyBorder="1" applyAlignment="1">
      <alignment horizontal="center"/>
    </xf>
    <xf numFmtId="0" fontId="26" fillId="18" borderId="45" xfId="0" applyFont="1" applyFill="1" applyBorder="1" applyAlignment="1">
      <alignment horizontal="center"/>
    </xf>
    <xf numFmtId="0" fontId="30" fillId="19" borderId="15" xfId="0" applyFont="1" applyFill="1" applyBorder="1" applyAlignment="1" applyProtection="1">
      <alignment horizontal="center"/>
      <protection hidden="1"/>
    </xf>
    <xf numFmtId="0" fontId="30" fillId="19" borderId="16" xfId="0" applyFont="1" applyFill="1" applyBorder="1" applyAlignment="1" applyProtection="1">
      <alignment horizontal="center"/>
      <protection hidden="1"/>
    </xf>
    <xf numFmtId="0" fontId="30" fillId="19" borderId="17" xfId="0" applyFont="1" applyFill="1" applyBorder="1" applyAlignment="1" applyProtection="1">
      <alignment horizontal="center"/>
      <protection hidden="1"/>
    </xf>
    <xf numFmtId="0" fontId="31" fillId="20" borderId="7" xfId="0" applyFont="1" applyFill="1" applyBorder="1" applyAlignment="1" applyProtection="1">
      <alignment horizontal="center"/>
      <protection hidden="1"/>
    </xf>
    <xf numFmtId="0" fontId="31" fillId="20" borderId="8" xfId="0" applyFont="1" applyFill="1" applyBorder="1" applyAlignment="1" applyProtection="1">
      <alignment horizontal="center"/>
      <protection hidden="1"/>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14" fontId="1" fillId="0" borderId="4"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9" borderId="39" xfId="0" applyFont="1" applyFill="1" applyBorder="1" applyAlignment="1" applyProtection="1">
      <alignment horizontal="left" vertical="center" wrapText="1"/>
      <protection locked="0"/>
    </xf>
    <xf numFmtId="0" fontId="1" fillId="9" borderId="41"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8" xfId="0" applyFont="1" applyFill="1" applyBorder="1" applyAlignment="1" applyProtection="1">
      <alignment horizontal="center" vertical="center" wrapText="1"/>
      <protection locked="0"/>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16" borderId="5" xfId="0" applyFont="1" applyFill="1" applyBorder="1" applyAlignment="1">
      <alignment horizontal="center" vertical="center"/>
    </xf>
    <xf numFmtId="0" fontId="1" fillId="16" borderId="18" xfId="0" applyFont="1" applyFill="1" applyBorder="1" applyAlignment="1">
      <alignment horizontal="center" vertical="center"/>
    </xf>
    <xf numFmtId="0" fontId="1" fillId="9" borderId="10" xfId="0" applyFont="1" applyFill="1" applyBorder="1" applyAlignment="1" applyProtection="1">
      <alignment horizontal="left" vertical="center" wrapText="1"/>
      <protection locked="0"/>
    </xf>
    <xf numFmtId="0" fontId="1" fillId="0" borderId="40" xfId="0" applyFont="1" applyBorder="1" applyAlignment="1">
      <alignment horizontal="center" vertical="center" wrapText="1"/>
    </xf>
    <xf numFmtId="0" fontId="13" fillId="8" borderId="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50" fillId="0" borderId="8"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9" xfId="0" applyFont="1" applyBorder="1" applyAlignment="1" applyProtection="1">
      <alignment horizontal="center" vertical="center" wrapText="1"/>
      <protection locked="0"/>
    </xf>
    <xf numFmtId="0" fontId="50" fillId="0" borderId="8" xfId="0" applyFont="1" applyBorder="1" applyAlignment="1">
      <alignment horizontal="center" vertical="center" wrapText="1"/>
    </xf>
    <xf numFmtId="0" fontId="1" fillId="16" borderId="28" xfId="0" applyFont="1" applyFill="1" applyBorder="1" applyAlignment="1">
      <alignment horizontal="center" vertical="center"/>
    </xf>
    <xf numFmtId="0" fontId="1" fillId="10" borderId="10" xfId="0" applyFont="1" applyFill="1" applyBorder="1" applyAlignment="1" applyProtection="1">
      <alignment horizontal="center" vertical="center" wrapText="1"/>
      <protection locked="0"/>
    </xf>
    <xf numFmtId="0" fontId="1" fillId="10" borderId="10" xfId="0" applyFont="1" applyFill="1" applyBorder="1" applyAlignment="1">
      <alignment horizontal="center" vertical="center" wrapText="1"/>
    </xf>
    <xf numFmtId="0" fontId="50" fillId="8" borderId="8"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0" fillId="0" borderId="4" xfId="0" applyFont="1" applyBorder="1" applyAlignment="1">
      <alignment horizontal="center" vertical="center" wrapText="1"/>
    </xf>
    <xf numFmtId="0" fontId="50" fillId="0" borderId="4" xfId="0" applyFont="1" applyBorder="1" applyAlignment="1" applyProtection="1">
      <alignment horizontal="center" vertical="center" wrapText="1"/>
      <protection locked="0"/>
    </xf>
    <xf numFmtId="0" fontId="50" fillId="16" borderId="18" xfId="0" applyFont="1" applyFill="1" applyBorder="1" applyAlignment="1">
      <alignment horizontal="center" vertical="center"/>
    </xf>
    <xf numFmtId="0" fontId="50" fillId="16" borderId="7" xfId="0" applyFont="1" applyFill="1" applyBorder="1" applyAlignment="1">
      <alignment horizontal="center" vertical="center"/>
    </xf>
    <xf numFmtId="0" fontId="50" fillId="10" borderId="8" xfId="0" applyFont="1" applyFill="1" applyBorder="1" applyAlignment="1">
      <alignment horizontal="justify" vertical="center" wrapText="1"/>
    </xf>
    <xf numFmtId="0" fontId="50" fillId="9" borderId="40" xfId="0" applyFont="1" applyFill="1" applyBorder="1" applyAlignment="1" applyProtection="1">
      <alignment horizontal="left" vertical="center" wrapText="1"/>
      <protection locked="0"/>
    </xf>
    <xf numFmtId="0" fontId="50" fillId="9" borderId="41" xfId="0" applyFont="1" applyFill="1" applyBorder="1" applyAlignment="1" applyProtection="1">
      <alignment horizontal="left" vertical="center" wrapText="1"/>
      <protection locked="0"/>
    </xf>
    <xf numFmtId="0" fontId="50" fillId="9" borderId="8" xfId="0" applyFont="1" applyFill="1" applyBorder="1" applyAlignment="1" applyProtection="1">
      <alignment horizontal="center" vertical="center" wrapText="1"/>
      <protection locked="0"/>
    </xf>
    <xf numFmtId="0" fontId="50" fillId="10" borderId="8" xfId="0" applyFont="1" applyFill="1" applyBorder="1" applyAlignment="1" applyProtection="1">
      <alignment horizontal="center" vertical="center" wrapText="1"/>
      <protection locked="0"/>
    </xf>
    <xf numFmtId="0" fontId="50" fillId="8" borderId="8" xfId="0" applyFont="1" applyFill="1" applyBorder="1" applyAlignment="1" applyProtection="1">
      <alignment horizontal="center" vertical="center" wrapText="1"/>
      <protection locked="0"/>
    </xf>
    <xf numFmtId="0" fontId="50" fillId="16" borderId="5" xfId="0" applyFont="1" applyFill="1" applyBorder="1" applyAlignment="1">
      <alignment horizontal="center" vertical="center"/>
    </xf>
    <xf numFmtId="0" fontId="50" fillId="10" borderId="4" xfId="0" applyFont="1" applyFill="1" applyBorder="1" applyAlignment="1" applyProtection="1">
      <alignment horizontal="center" vertical="center" wrapText="1"/>
      <protection locked="0"/>
    </xf>
    <xf numFmtId="0" fontId="50" fillId="10" borderId="4" xfId="0" applyFont="1" applyFill="1" applyBorder="1" applyAlignment="1">
      <alignment horizontal="justify" vertical="center" wrapText="1"/>
    </xf>
    <xf numFmtId="0" fontId="50" fillId="9" borderId="39" xfId="0" applyFont="1" applyFill="1" applyBorder="1" applyAlignment="1" applyProtection="1">
      <alignment horizontal="left" vertical="center" wrapText="1"/>
      <protection locked="0"/>
    </xf>
    <xf numFmtId="0" fontId="50" fillId="9" borderId="10" xfId="0" applyFont="1" applyFill="1" applyBorder="1" applyAlignment="1" applyProtection="1">
      <alignment horizontal="left" vertical="center" wrapText="1"/>
      <protection locked="0"/>
    </xf>
    <xf numFmtId="0" fontId="50" fillId="9" borderId="4" xfId="0" applyFont="1" applyFill="1" applyBorder="1" applyAlignment="1" applyProtection="1">
      <alignment horizontal="center" vertical="center" wrapText="1"/>
      <protection locked="0"/>
    </xf>
    <xf numFmtId="0" fontId="50" fillId="8" borderId="4" xfId="0" applyFont="1" applyFill="1" applyBorder="1" applyAlignment="1">
      <alignment horizontal="center" vertical="center" wrapText="1"/>
    </xf>
    <xf numFmtId="0" fontId="50" fillId="8" borderId="4" xfId="0" applyFont="1" applyFill="1" applyBorder="1" applyAlignment="1" applyProtection="1">
      <alignment horizontal="center" vertical="center" wrapText="1"/>
      <protection locked="0"/>
    </xf>
    <xf numFmtId="0" fontId="54" fillId="8" borderId="4" xfId="0" applyFont="1" applyFill="1" applyBorder="1" applyAlignment="1">
      <alignment horizontal="center" vertical="center" wrapText="1"/>
    </xf>
    <xf numFmtId="0" fontId="50" fillId="0" borderId="6" xfId="0" applyFont="1" applyBorder="1" applyAlignment="1" applyProtection="1">
      <alignment horizontal="center" vertical="center" wrapText="1"/>
      <protection locked="0"/>
    </xf>
    <xf numFmtId="14" fontId="50" fillId="0" borderId="4" xfId="0" applyNumberFormat="1" applyFont="1" applyBorder="1" applyAlignment="1" applyProtection="1">
      <alignment horizontal="center" vertical="center" wrapText="1"/>
      <protection locked="0"/>
    </xf>
    <xf numFmtId="0" fontId="1" fillId="16" borderId="7" xfId="0"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1" fillId="9" borderId="40" xfId="0" applyFont="1" applyFill="1" applyBorder="1" applyAlignment="1" applyProtection="1">
      <alignment horizontal="left" vertical="center" wrapText="1"/>
      <protection locked="0"/>
    </xf>
    <xf numFmtId="0" fontId="1" fillId="9" borderId="10" xfId="0" applyFont="1" applyFill="1" applyBorder="1" applyAlignment="1" applyProtection="1">
      <alignment horizontal="center" vertical="center" wrapText="1"/>
      <protection locked="0"/>
    </xf>
    <xf numFmtId="14" fontId="1" fillId="0" borderId="10" xfId="0" applyNumberFormat="1"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0"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 fillId="8" borderId="10"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 fillId="16" borderId="43" xfId="0" applyFont="1" applyFill="1" applyBorder="1" applyAlignment="1">
      <alignment horizontal="center" vertical="center"/>
    </xf>
    <xf numFmtId="0" fontId="1" fillId="10" borderId="40" xfId="0" applyFont="1" applyFill="1" applyBorder="1" applyAlignment="1" applyProtection="1">
      <alignment horizontal="center" vertical="center" wrapText="1"/>
      <protection locked="0"/>
    </xf>
    <xf numFmtId="0" fontId="1" fillId="10" borderId="40" xfId="0" applyFont="1" applyFill="1" applyBorder="1" applyAlignment="1">
      <alignment horizontal="center" vertical="center" wrapText="1"/>
    </xf>
    <xf numFmtId="0" fontId="1" fillId="9" borderId="14" xfId="0" applyFont="1" applyFill="1" applyBorder="1" applyAlignment="1" applyProtection="1">
      <alignment horizontal="left" vertical="center" wrapText="1"/>
      <protection locked="0"/>
    </xf>
    <xf numFmtId="0" fontId="1" fillId="9" borderId="40"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8" borderId="40" xfId="0" applyFont="1" applyFill="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6"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9" xfId="0" applyFont="1" applyBorder="1" applyAlignment="1" applyProtection="1">
      <alignment horizontal="justify" vertical="center" wrapText="1"/>
      <protection locked="0"/>
    </xf>
    <xf numFmtId="0" fontId="1" fillId="18" borderId="4" xfId="0" applyFont="1" applyFill="1" applyBorder="1" applyAlignment="1">
      <alignment horizontal="center" vertical="center" wrapText="1"/>
    </xf>
    <xf numFmtId="0" fontId="1" fillId="18" borderId="8" xfId="0" applyFont="1" applyFill="1" applyBorder="1" applyAlignment="1">
      <alignment horizontal="center" vertical="center" wrapText="1"/>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 fillId="10" borderId="4" xfId="0" applyFont="1" applyFill="1" applyBorder="1" applyAlignment="1">
      <alignment horizontal="justify" vertical="center" wrapText="1"/>
    </xf>
    <xf numFmtId="0" fontId="1" fillId="10" borderId="8" xfId="0" applyFont="1" applyFill="1" applyBorder="1" applyAlignment="1">
      <alignment horizontal="justify" vertical="center" wrapText="1"/>
    </xf>
    <xf numFmtId="0" fontId="1" fillId="9" borderId="39" xfId="0" applyFont="1" applyFill="1" applyBorder="1" applyAlignment="1" applyProtection="1">
      <alignment horizontal="justify" vertical="center" wrapText="1"/>
      <protection locked="0"/>
    </xf>
    <xf numFmtId="0" fontId="1" fillId="9" borderId="14" xfId="0" applyFont="1" applyFill="1" applyBorder="1" applyAlignment="1" applyProtection="1">
      <alignment horizontal="justify" vertical="center" wrapText="1"/>
      <protection locked="0"/>
    </xf>
    <xf numFmtId="0" fontId="1" fillId="9" borderId="41" xfId="0" applyFont="1" applyFill="1" applyBorder="1" applyAlignment="1" applyProtection="1">
      <alignment horizontal="justify" vertical="center" wrapText="1"/>
      <protection locked="0"/>
    </xf>
    <xf numFmtId="0" fontId="24" fillId="0" borderId="40" xfId="0" applyFont="1" applyBorder="1" applyAlignment="1">
      <alignment horizontal="center" vertical="center" wrapText="1"/>
    </xf>
    <xf numFmtId="0" fontId="28" fillId="13" borderId="4" xfId="0" applyFont="1" applyFill="1" applyBorder="1" applyAlignment="1">
      <alignment horizontal="center" vertical="center"/>
    </xf>
    <xf numFmtId="0" fontId="28" fillId="13" borderId="6" xfId="0" applyFont="1" applyFill="1" applyBorder="1" applyAlignment="1">
      <alignment horizontal="center" vertical="center"/>
    </xf>
    <xf numFmtId="0" fontId="28" fillId="13" borderId="40" xfId="0" applyFont="1" applyFill="1" applyBorder="1" applyAlignment="1">
      <alignment horizontal="center" vertical="center"/>
    </xf>
    <xf numFmtId="0" fontId="28" fillId="13" borderId="44" xfId="0" applyFont="1" applyFill="1" applyBorder="1" applyAlignment="1">
      <alignment horizontal="center" vertical="center"/>
    </xf>
    <xf numFmtId="0" fontId="40" fillId="0" borderId="40" xfId="0" applyFont="1" applyBorder="1" applyAlignment="1">
      <alignment horizontal="right" vertical="center" wrapText="1"/>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6" xfId="0" applyFont="1" applyFill="1" applyBorder="1" applyAlignment="1">
      <alignment horizontal="center" vertical="center"/>
    </xf>
    <xf numFmtId="0" fontId="12" fillId="13" borderId="43" xfId="0" applyFont="1" applyFill="1" applyBorder="1" applyAlignment="1">
      <alignment horizontal="center" vertical="center"/>
    </xf>
    <xf numFmtId="0" fontId="12" fillId="13" borderId="40" xfId="0" applyFont="1" applyFill="1" applyBorder="1" applyAlignment="1">
      <alignment horizontal="center" vertical="center"/>
    </xf>
    <xf numFmtId="0" fontId="12" fillId="13" borderId="44" xfId="0" applyFont="1" applyFill="1" applyBorder="1" applyAlignment="1">
      <alignment horizontal="center" vertical="center"/>
    </xf>
    <xf numFmtId="0" fontId="12" fillId="13" borderId="27" xfId="0" applyFont="1" applyFill="1" applyBorder="1" applyAlignment="1">
      <alignment horizontal="center" vertical="center"/>
    </xf>
    <xf numFmtId="0" fontId="12" fillId="13" borderId="48" xfId="0" applyFont="1" applyFill="1" applyBorder="1" applyAlignment="1">
      <alignment horizontal="center" vertical="center" wrapText="1"/>
    </xf>
    <xf numFmtId="0" fontId="12" fillId="13" borderId="40"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 fillId="0" borderId="40" xfId="0" applyFont="1" applyBorder="1" applyAlignment="1" applyProtection="1">
      <alignment horizontal="center" vertical="center"/>
      <protection locked="0"/>
    </xf>
    <xf numFmtId="0" fontId="1" fillId="10" borderId="4" xfId="0" applyFont="1" applyFill="1" applyBorder="1" applyAlignment="1">
      <alignment horizontal="left" vertical="center" wrapText="1"/>
    </xf>
    <xf numFmtId="1" fontId="13" fillId="8" borderId="40" xfId="0" applyNumberFormat="1" applyFont="1" applyFill="1" applyBorder="1" applyAlignment="1">
      <alignment horizontal="center" vertical="center" wrapText="1"/>
    </xf>
    <xf numFmtId="1" fontId="13" fillId="8" borderId="14" xfId="0" applyNumberFormat="1" applyFont="1" applyFill="1" applyBorder="1" applyAlignment="1">
      <alignment horizontal="center" vertical="center" wrapText="1"/>
    </xf>
    <xf numFmtId="1" fontId="13" fillId="8" borderId="10" xfId="0" applyNumberFormat="1" applyFont="1" applyFill="1" applyBorder="1" applyAlignment="1">
      <alignment horizontal="center" vertical="center" wrapText="1"/>
    </xf>
    <xf numFmtId="0" fontId="1" fillId="10" borderId="40" xfId="0" applyFont="1" applyFill="1" applyBorder="1" applyAlignment="1">
      <alignment horizontal="left" vertical="center" wrapText="1"/>
    </xf>
    <xf numFmtId="0" fontId="1" fillId="9" borderId="14" xfId="0" applyFont="1" applyFill="1" applyBorder="1" applyAlignment="1" applyProtection="1">
      <alignment horizontal="center" vertical="center" wrapText="1"/>
      <protection locked="0"/>
    </xf>
    <xf numFmtId="0" fontId="1" fillId="25" borderId="4" xfId="0" applyFont="1" applyFill="1" applyBorder="1" applyAlignment="1" applyProtection="1">
      <alignment horizontal="center" vertical="center" wrapText="1"/>
      <protection locked="0"/>
    </xf>
    <xf numFmtId="0" fontId="1" fillId="0" borderId="4" xfId="0" applyFont="1" applyBorder="1" applyAlignment="1">
      <alignment horizontal="justify" vertical="center" wrapText="1"/>
    </xf>
    <xf numFmtId="0" fontId="1" fillId="25" borderId="4" xfId="0" applyFont="1" applyFill="1" applyBorder="1" applyAlignment="1">
      <alignment horizontal="center" vertical="center" wrapText="1"/>
    </xf>
    <xf numFmtId="0" fontId="1" fillId="8" borderId="8" xfId="0" applyFont="1" applyFill="1" applyBorder="1" applyAlignment="1" applyProtection="1">
      <alignment horizontal="justify" vertical="center" wrapText="1"/>
      <protection locked="0"/>
    </xf>
    <xf numFmtId="0" fontId="1" fillId="0" borderId="8" xfId="0" applyFont="1" applyBorder="1" applyAlignment="1">
      <alignment horizontal="justify" vertical="center" wrapText="1"/>
    </xf>
    <xf numFmtId="0" fontId="1" fillId="10" borderId="8" xfId="0" applyFont="1" applyFill="1" applyBorder="1" applyAlignment="1">
      <alignment horizontal="left" vertical="center" wrapText="1"/>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1" borderId="0" xfId="3" applyFont="1" applyFill="1" applyAlignment="1">
      <alignment horizontal="center" vertical="center" textRotation="90"/>
    </xf>
    <xf numFmtId="0" fontId="4" fillId="12" borderId="30" xfId="3" applyFont="1" applyFill="1" applyBorder="1" applyAlignment="1">
      <alignment horizontal="center" vertical="center"/>
    </xf>
    <xf numFmtId="0" fontId="6" fillId="0" borderId="30" xfId="3" applyFont="1" applyBorder="1" applyAlignment="1">
      <alignment horizontal="center" vertical="center" wrapText="1"/>
    </xf>
    <xf numFmtId="0" fontId="4" fillId="6" borderId="30" xfId="3" applyFont="1" applyFill="1" applyBorder="1" applyAlignment="1">
      <alignment horizontal="center" vertical="center"/>
    </xf>
    <xf numFmtId="0" fontId="4" fillId="5" borderId="30" xfId="3" applyFont="1" applyFill="1" applyBorder="1" applyAlignment="1">
      <alignment horizontal="center" vertical="center"/>
    </xf>
    <xf numFmtId="0" fontId="4" fillId="4" borderId="30" xfId="3" applyFont="1" applyFill="1" applyBorder="1" applyAlignment="1">
      <alignment horizontal="center" vertical="center"/>
    </xf>
    <xf numFmtId="0" fontId="4" fillId="3" borderId="30" xfId="3" applyFont="1" applyFill="1" applyBorder="1" applyAlignment="1">
      <alignment horizontal="center" vertical="center"/>
    </xf>
    <xf numFmtId="0" fontId="41" fillId="0" borderId="30" xfId="0" applyFont="1" applyBorder="1"/>
    <xf numFmtId="0" fontId="41" fillId="22" borderId="30" xfId="0" applyFont="1" applyFill="1" applyBorder="1" applyAlignment="1">
      <alignment wrapText="1"/>
    </xf>
    <xf numFmtId="0" fontId="41" fillId="0" borderId="30" xfId="0" applyFont="1" applyBorder="1" applyAlignment="1">
      <alignment vertical="center"/>
    </xf>
    <xf numFmtId="0" fontId="18" fillId="10" borderId="30" xfId="0" applyFont="1" applyFill="1" applyBorder="1"/>
    <xf numFmtId="0" fontId="19" fillId="10" borderId="30" xfId="0" applyFont="1" applyFill="1" applyBorder="1" applyAlignment="1">
      <alignment wrapText="1"/>
    </xf>
    <xf numFmtId="0" fontId="1" fillId="10" borderId="30" xfId="0" applyFont="1" applyFill="1" applyBorder="1" applyAlignment="1" applyProtection="1">
      <alignment vertical="center" wrapText="1"/>
      <protection locked="0"/>
    </xf>
    <xf numFmtId="0" fontId="20" fillId="10" borderId="30" xfId="0" applyFont="1" applyFill="1" applyBorder="1"/>
    <xf numFmtId="0" fontId="12" fillId="21" borderId="30" xfId="0" applyFont="1" applyFill="1" applyBorder="1" applyAlignment="1" applyProtection="1">
      <alignment horizontal="center" vertical="center" wrapText="1"/>
      <protection locked="0"/>
    </xf>
    <xf numFmtId="0" fontId="21" fillId="10" borderId="30" xfId="0" applyFont="1" applyFill="1" applyBorder="1" applyAlignment="1">
      <alignment wrapText="1"/>
    </xf>
    <xf numFmtId="0" fontId="22" fillId="10" borderId="30" xfId="0" applyFont="1" applyFill="1" applyBorder="1" applyAlignment="1">
      <alignment wrapText="1"/>
    </xf>
    <xf numFmtId="0" fontId="23" fillId="10" borderId="30" xfId="0" applyFont="1" applyFill="1" applyBorder="1" applyAlignment="1">
      <alignment wrapText="1"/>
    </xf>
    <xf numFmtId="0" fontId="0" fillId="10" borderId="30" xfId="0" applyFill="1" applyBorder="1" applyAlignment="1">
      <alignment wrapText="1"/>
    </xf>
    <xf numFmtId="0" fontId="0" fillId="0" borderId="30" xfId="0" applyBorder="1"/>
    <xf numFmtId="0" fontId="0" fillId="14" borderId="30" xfId="0" applyFill="1" applyBorder="1"/>
    <xf numFmtId="0" fontId="32" fillId="0" borderId="30" xfId="0" applyFont="1" applyBorder="1" applyAlignment="1" applyProtection="1">
      <alignment horizontal="center" vertical="center"/>
      <protection hidden="1"/>
    </xf>
    <xf numFmtId="0" fontId="32" fillId="0" borderId="30" xfId="0" applyFont="1" applyBorder="1" applyAlignment="1" applyProtection="1">
      <alignment horizontal="center" vertical="center" wrapText="1"/>
      <protection hidden="1"/>
    </xf>
    <xf numFmtId="0" fontId="40" fillId="0" borderId="30" xfId="0" applyFont="1" applyBorder="1" applyAlignment="1">
      <alignment horizontal="right" vertical="center" wrapText="1"/>
    </xf>
    <xf numFmtId="0" fontId="24" fillId="0" borderId="30" xfId="0" applyFont="1" applyBorder="1" applyAlignment="1">
      <alignment horizontal="center" vertical="center" wrapText="1"/>
    </xf>
    <xf numFmtId="0" fontId="1" fillId="0" borderId="30" xfId="0" applyFont="1" applyBorder="1" applyAlignment="1" applyProtection="1">
      <alignment horizontal="justify" vertical="center" wrapText="1"/>
      <protection locked="0"/>
    </xf>
    <xf numFmtId="0" fontId="1" fillId="10" borderId="30" xfId="0" applyFont="1" applyFill="1" applyBorder="1" applyAlignment="1">
      <alignment horizontal="justify" vertical="center" wrapText="1"/>
    </xf>
    <xf numFmtId="0" fontId="1" fillId="9" borderId="30" xfId="0" applyFont="1" applyFill="1" applyBorder="1" applyAlignment="1" applyProtection="1">
      <alignment horizontal="center" vertical="center" wrapText="1"/>
      <protection locked="0"/>
    </xf>
    <xf numFmtId="0" fontId="10" fillId="0" borderId="30" xfId="0" applyFont="1" applyBorder="1" applyAlignment="1" applyProtection="1">
      <alignment horizontal="justify" vertical="center" wrapText="1"/>
      <protection locked="0"/>
    </xf>
    <xf numFmtId="0" fontId="1" fillId="9" borderId="30" xfId="0" applyFont="1" applyFill="1" applyBorder="1" applyAlignment="1" applyProtection="1">
      <alignment horizontal="center" vertical="center" wrapText="1"/>
      <protection locked="0"/>
    </xf>
    <xf numFmtId="0" fontId="1" fillId="10" borderId="30" xfId="0" applyFont="1" applyFill="1" applyBorder="1" applyAlignment="1" applyProtection="1">
      <alignment horizontal="center" vertical="center" wrapText="1"/>
      <protection locked="0"/>
    </xf>
    <xf numFmtId="0" fontId="1" fillId="8" borderId="30" xfId="0" applyFont="1" applyFill="1" applyBorder="1" applyAlignment="1">
      <alignment horizontal="center" vertical="center" wrapText="1"/>
    </xf>
    <xf numFmtId="0" fontId="1" fillId="8" borderId="30" xfId="0" applyFont="1" applyFill="1" applyBorder="1" applyAlignment="1" applyProtection="1">
      <alignment horizontal="center" vertical="center" wrapText="1"/>
      <protection locked="0"/>
    </xf>
    <xf numFmtId="0" fontId="1" fillId="18" borderId="30"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14" fillId="0" borderId="30" xfId="0" applyFont="1" applyBorder="1" applyAlignment="1" applyProtection="1">
      <alignment horizontal="justify" vertical="center" wrapText="1"/>
      <protection locked="0"/>
    </xf>
    <xf numFmtId="0" fontId="1" fillId="0" borderId="30" xfId="0" applyFont="1" applyBorder="1" applyAlignment="1">
      <alignment horizontal="center" vertical="center" wrapText="1"/>
    </xf>
    <xf numFmtId="0" fontId="13" fillId="8" borderId="30" xfId="0" applyFont="1" applyFill="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30" xfId="0" applyBorder="1" applyAlignment="1" applyProtection="1">
      <alignment vertical="center" wrapText="1"/>
      <protection locked="0"/>
    </xf>
    <xf numFmtId="0" fontId="0" fillId="0" borderId="30" xfId="0" applyBorder="1" applyAlignment="1" applyProtection="1">
      <alignment horizontal="justify" vertical="center" wrapText="1"/>
      <protection locked="0"/>
    </xf>
    <xf numFmtId="0" fontId="13" fillId="0" borderId="30"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1" fillId="10" borderId="30" xfId="0" applyFont="1" applyFill="1" applyBorder="1" applyAlignment="1">
      <alignment horizontal="center" vertical="center" wrapText="1"/>
    </xf>
    <xf numFmtId="0" fontId="10" fillId="0" borderId="30" xfId="0" applyFont="1" applyBorder="1" applyAlignment="1" applyProtection="1">
      <alignment vertical="center" wrapText="1"/>
      <protection locked="0"/>
    </xf>
    <xf numFmtId="0" fontId="1" fillId="9" borderId="30" xfId="0" applyFont="1" applyFill="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0" fillId="0" borderId="30" xfId="0" applyBorder="1" applyAlignment="1">
      <alignment vertical="center" wrapText="1"/>
    </xf>
    <xf numFmtId="0" fontId="13" fillId="10" borderId="30"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0" xfId="0" applyFont="1" applyFill="1" applyBorder="1" applyAlignment="1">
      <alignment vertical="center" wrapText="1"/>
    </xf>
    <xf numFmtId="0" fontId="1" fillId="0" borderId="30" xfId="0" applyFont="1" applyBorder="1" applyAlignment="1" applyProtection="1">
      <alignment horizontal="center" vertical="center"/>
      <protection locked="0"/>
    </xf>
    <xf numFmtId="0" fontId="1" fillId="0" borderId="30" xfId="0" applyFont="1" applyBorder="1" applyAlignment="1" applyProtection="1">
      <alignment vertical="center"/>
      <protection locked="0"/>
    </xf>
    <xf numFmtId="0" fontId="1" fillId="0" borderId="30" xfId="0" applyFont="1" applyBorder="1" applyAlignment="1" applyProtection="1">
      <alignment horizontal="center" vertical="center"/>
      <protection locked="0"/>
    </xf>
    <xf numFmtId="0" fontId="0" fillId="0" borderId="30" xfId="0" applyBorder="1" applyAlignment="1" applyProtection="1">
      <alignment horizontal="left" vertical="center"/>
      <protection locked="0"/>
    </xf>
    <xf numFmtId="0" fontId="0" fillId="0" borderId="30" xfId="0"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14" fontId="1" fillId="0" borderId="30" xfId="0" applyNumberFormat="1" applyFont="1" applyBorder="1" applyAlignment="1" applyProtection="1">
      <alignment horizontal="center" vertical="center" wrapText="1"/>
      <protection locked="0"/>
    </xf>
    <xf numFmtId="0" fontId="0" fillId="0" borderId="30" xfId="0" applyBorder="1" applyAlignment="1" applyProtection="1">
      <alignment wrapText="1"/>
      <protection locked="0"/>
    </xf>
    <xf numFmtId="0" fontId="0" fillId="0" borderId="30" xfId="0" applyBorder="1" applyAlignment="1" applyProtection="1">
      <alignment vertical="center"/>
      <protection locked="0"/>
    </xf>
    <xf numFmtId="0" fontId="1" fillId="10" borderId="30" xfId="0" applyFont="1" applyFill="1" applyBorder="1" applyAlignment="1" applyProtection="1">
      <alignment horizontal="center" vertical="center" wrapText="1"/>
      <protection locked="0"/>
    </xf>
    <xf numFmtId="0" fontId="1" fillId="9" borderId="30" xfId="0" applyFont="1" applyFill="1" applyBorder="1" applyAlignment="1" applyProtection="1">
      <alignment horizontal="left" vertical="center" wrapText="1"/>
      <protection locked="0"/>
    </xf>
    <xf numFmtId="0" fontId="1" fillId="8" borderId="30" xfId="0" applyFont="1" applyFill="1" applyBorder="1" applyAlignment="1">
      <alignment horizontal="center" vertical="center" wrapText="1"/>
    </xf>
    <xf numFmtId="0" fontId="1" fillId="8" borderId="30" xfId="0" applyFont="1" applyFill="1" applyBorder="1" applyAlignment="1" applyProtection="1">
      <alignment horizontal="center" vertical="center" wrapText="1"/>
      <protection locked="0"/>
    </xf>
    <xf numFmtId="0" fontId="1" fillId="24" borderId="30" xfId="0" applyFont="1" applyFill="1" applyBorder="1" applyAlignment="1">
      <alignment horizontal="center" vertical="center" wrapText="1"/>
    </xf>
    <xf numFmtId="0" fontId="14" fillId="0" borderId="30"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50" fillId="10" borderId="30" xfId="0" applyFont="1" applyFill="1" applyBorder="1" applyAlignment="1" applyProtection="1">
      <alignment horizontal="center" vertical="center" wrapText="1"/>
      <protection locked="0"/>
    </xf>
    <xf numFmtId="0" fontId="50" fillId="10" borderId="30" xfId="0" applyFont="1" applyFill="1" applyBorder="1" applyAlignment="1">
      <alignment horizontal="justify" vertical="center" wrapText="1"/>
    </xf>
    <xf numFmtId="0" fontId="50" fillId="9" borderId="30" xfId="0" applyFont="1" applyFill="1" applyBorder="1" applyAlignment="1" applyProtection="1">
      <alignment horizontal="center" vertical="center" wrapText="1"/>
      <protection locked="0"/>
    </xf>
    <xf numFmtId="0" fontId="51" fillId="0" borderId="30" xfId="0" applyFont="1" applyBorder="1" applyAlignment="1" applyProtection="1">
      <alignment horizontal="center" vertical="center" wrapText="1"/>
      <protection locked="0"/>
    </xf>
    <xf numFmtId="0" fontId="50" fillId="9" borderId="30" xfId="0" applyFont="1" applyFill="1" applyBorder="1" applyAlignment="1" applyProtection="1">
      <alignment horizontal="center" vertical="center" wrapText="1"/>
      <protection locked="0"/>
    </xf>
    <xf numFmtId="0" fontId="50" fillId="8" borderId="30" xfId="0" applyFont="1" applyFill="1" applyBorder="1" applyAlignment="1">
      <alignment horizontal="center" vertical="center" wrapText="1"/>
    </xf>
    <xf numFmtId="0" fontId="50" fillId="8" borderId="30" xfId="0" applyFont="1" applyFill="1" applyBorder="1" applyAlignment="1" applyProtection="1">
      <alignment horizontal="center" vertical="center" wrapText="1"/>
      <protection locked="0"/>
    </xf>
    <xf numFmtId="0" fontId="50" fillId="0" borderId="30" xfId="0" applyFont="1" applyBorder="1" applyAlignment="1">
      <alignment horizontal="center" vertical="center" wrapText="1"/>
    </xf>
    <xf numFmtId="0" fontId="50" fillId="0" borderId="30" xfId="0" applyFont="1" applyBorder="1" applyAlignment="1" applyProtection="1">
      <alignment horizontal="center" vertical="center" wrapText="1"/>
      <protection locked="0"/>
    </xf>
    <xf numFmtId="0" fontId="52" fillId="0" borderId="30" xfId="0" applyFont="1" applyBorder="1" applyAlignment="1" applyProtection="1">
      <alignment horizontal="justify" vertical="center" wrapText="1"/>
      <protection locked="0"/>
    </xf>
    <xf numFmtId="0" fontId="50" fillId="0" borderId="30" xfId="0" applyFont="1" applyBorder="1" applyAlignment="1">
      <alignment horizontal="center" vertical="center" wrapText="1"/>
    </xf>
    <xf numFmtId="0" fontId="54" fillId="8" borderId="30" xfId="0" applyFont="1" applyFill="1" applyBorder="1" applyAlignment="1">
      <alignment horizontal="center" vertical="center" wrapText="1"/>
    </xf>
    <xf numFmtId="0" fontId="41" fillId="0" borderId="30" xfId="0" applyFont="1" applyBorder="1" applyAlignment="1" applyProtection="1">
      <alignment horizontal="center" vertical="center" wrapText="1"/>
      <protection locked="0"/>
    </xf>
    <xf numFmtId="0" fontId="54" fillId="10" borderId="30" xfId="0" applyFont="1" applyFill="1" applyBorder="1" applyAlignment="1">
      <alignment horizontal="center" vertical="center" wrapText="1"/>
    </xf>
    <xf numFmtId="0" fontId="54" fillId="8" borderId="30" xfId="0" applyFont="1" applyFill="1" applyBorder="1" applyAlignment="1">
      <alignment horizontal="center" vertical="center" wrapText="1"/>
    </xf>
    <xf numFmtId="0" fontId="54" fillId="8" borderId="30" xfId="0" applyFont="1" applyFill="1" applyBorder="1" applyAlignment="1">
      <alignment vertical="center" wrapText="1"/>
    </xf>
    <xf numFmtId="0" fontId="50" fillId="0" borderId="30" xfId="0" applyFont="1" applyBorder="1" applyAlignment="1" applyProtection="1">
      <alignment horizontal="center" vertical="center" wrapText="1"/>
      <protection locked="0"/>
    </xf>
    <xf numFmtId="0" fontId="50" fillId="0" borderId="30" xfId="0" applyFont="1" applyBorder="1" applyAlignment="1" applyProtection="1">
      <alignment horizontal="center" vertical="center"/>
      <protection locked="0"/>
    </xf>
    <xf numFmtId="0" fontId="48" fillId="0" borderId="30" xfId="0" applyFont="1" applyBorder="1" applyAlignment="1" applyProtection="1">
      <alignment horizontal="justify" vertical="center" wrapText="1"/>
      <protection locked="0"/>
    </xf>
    <xf numFmtId="0" fontId="1" fillId="10" borderId="30" xfId="0" applyFont="1" applyFill="1" applyBorder="1" applyAlignment="1">
      <alignment horizontal="left" vertical="center" wrapText="1"/>
    </xf>
    <xf numFmtId="0" fontId="0" fillId="0" borderId="30" xfId="0" applyBorder="1" applyProtection="1">
      <protection locked="0"/>
    </xf>
    <xf numFmtId="0" fontId="1" fillId="0" borderId="30" xfId="0" applyFont="1" applyBorder="1" applyProtection="1">
      <protection locked="0"/>
    </xf>
    <xf numFmtId="0" fontId="1" fillId="0" borderId="30" xfId="0" applyFont="1" applyBorder="1" applyAlignment="1" applyProtection="1">
      <alignment wrapText="1"/>
      <protection locked="0"/>
    </xf>
    <xf numFmtId="0" fontId="1" fillId="25" borderId="30" xfId="0" applyFont="1" applyFill="1" applyBorder="1" applyAlignment="1" applyProtection="1">
      <alignment horizontal="center" vertical="center" wrapText="1"/>
      <protection locked="0"/>
    </xf>
    <xf numFmtId="0" fontId="1" fillId="0" borderId="30" xfId="0" applyFont="1" applyBorder="1" applyAlignment="1">
      <alignment horizontal="justify" vertical="center" wrapText="1"/>
    </xf>
    <xf numFmtId="0" fontId="1" fillId="25" borderId="30" xfId="0" applyFont="1" applyFill="1" applyBorder="1" applyAlignment="1">
      <alignment horizontal="center" vertical="center" wrapText="1"/>
    </xf>
    <xf numFmtId="0" fontId="1" fillId="0" borderId="30" xfId="0" applyFont="1" applyBorder="1" applyAlignment="1" applyProtection="1">
      <alignment horizontal="justify" vertical="center" wrapText="1"/>
      <protection locked="0"/>
    </xf>
    <xf numFmtId="0" fontId="46" fillId="0" borderId="30" xfId="0" applyFont="1" applyBorder="1" applyAlignment="1" applyProtection="1">
      <alignment horizontal="center" vertical="center" wrapText="1"/>
      <protection locked="0"/>
    </xf>
    <xf numFmtId="0" fontId="46" fillId="0" borderId="30" xfId="0" applyFont="1" applyBorder="1" applyAlignment="1" applyProtection="1">
      <alignment horizontal="center" vertical="center"/>
      <protection locked="0"/>
    </xf>
    <xf numFmtId="0" fontId="46" fillId="0" borderId="30" xfId="0" applyFont="1" applyBorder="1" applyAlignment="1">
      <alignment horizontal="center" vertical="center"/>
    </xf>
    <xf numFmtId="0" fontId="46" fillId="0" borderId="30" xfId="0" applyFont="1" applyBorder="1"/>
    <xf numFmtId="0" fontId="13" fillId="0" borderId="30" xfId="0" applyFont="1" applyBorder="1" applyAlignment="1">
      <alignment vertical="center" wrapText="1"/>
    </xf>
    <xf numFmtId="0" fontId="1" fillId="26" borderId="30" xfId="0" applyFont="1" applyFill="1" applyBorder="1" applyAlignment="1" applyProtection="1">
      <alignment horizontal="justify" vertical="center" wrapText="1"/>
      <protection locked="0"/>
    </xf>
    <xf numFmtId="0" fontId="1" fillId="26" borderId="30" xfId="0" applyFont="1" applyFill="1" applyBorder="1" applyAlignment="1">
      <alignment horizontal="center" vertical="center" wrapText="1"/>
    </xf>
    <xf numFmtId="0" fontId="1" fillId="0" borderId="30" xfId="0" applyFont="1" applyBorder="1" applyAlignment="1" applyProtection="1">
      <alignment horizontal="left" vertical="center"/>
      <protection locked="0"/>
    </xf>
    <xf numFmtId="0" fontId="46" fillId="0" borderId="30" xfId="0" applyFont="1" applyBorder="1" applyAlignment="1" applyProtection="1">
      <alignment vertical="center" wrapText="1"/>
      <protection locked="0"/>
    </xf>
    <xf numFmtId="0" fontId="46" fillId="0" borderId="30" xfId="0" applyFont="1" applyBorder="1" applyProtection="1">
      <protection locked="0"/>
    </xf>
    <xf numFmtId="0" fontId="46" fillId="0" borderId="30" xfId="0" applyFont="1" applyBorder="1" applyAlignment="1" applyProtection="1">
      <alignment horizontal="left" vertical="center"/>
      <protection locked="0"/>
    </xf>
    <xf numFmtId="0" fontId="1" fillId="8" borderId="30" xfId="0" applyFont="1" applyFill="1" applyBorder="1" applyAlignment="1" applyProtection="1">
      <alignment horizontal="justify" vertical="center" wrapText="1"/>
      <protection locked="0"/>
    </xf>
    <xf numFmtId="0" fontId="1" fillId="10" borderId="30" xfId="0" applyFont="1" applyFill="1" applyBorder="1" applyAlignment="1">
      <alignment horizontal="left" vertical="center" wrapText="1"/>
    </xf>
    <xf numFmtId="0" fontId="1" fillId="18" borderId="30" xfId="0" applyFont="1" applyFill="1" applyBorder="1" applyAlignment="1">
      <alignment horizontal="center" vertical="center" wrapText="1"/>
    </xf>
    <xf numFmtId="14" fontId="1" fillId="0" borderId="30" xfId="0" applyNumberFormat="1" applyFont="1" applyBorder="1" applyAlignment="1" applyProtection="1">
      <alignment horizontal="center" vertical="center" wrapText="1"/>
      <protection locked="0"/>
    </xf>
  </cellXfs>
  <cellStyles count="7">
    <cellStyle name="Excel Built-in Normal"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Porcentaje" xfId="5" builtinId="5"/>
  </cellStyles>
  <dxfs count="292">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E2ECFD"/>
      <color rgb="FF3366CC"/>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customXml" Target="../customXml/item4.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1549977</xdr:colOff>
      <xdr:row>1</xdr:row>
      <xdr:rowOff>69273</xdr:rowOff>
    </xdr:from>
    <xdr:to>
      <xdr:col>3</xdr:col>
      <xdr:colOff>1211621</xdr:colOff>
      <xdr:row>4</xdr:row>
      <xdr:rowOff>25977</xdr:rowOff>
    </xdr:to>
    <xdr:pic>
      <xdr:nvPicPr>
        <xdr:cNvPr id="4" name="Picture 1" descr="Intranet Minjusticia">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624"/>
        <a:stretch>
          <a:fillRect/>
        </a:stretch>
      </xdr:blipFill>
      <xdr:spPr bwMode="auto">
        <a:xfrm>
          <a:off x="2597727" y="259773"/>
          <a:ext cx="2839530" cy="528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206375</xdr:colOff>
      <xdr:row>0</xdr:row>
      <xdr:rowOff>190500</xdr:rowOff>
    </xdr:from>
    <xdr:to>
      <xdr:col>2</xdr:col>
      <xdr:colOff>1784350</xdr:colOff>
      <xdr:row>2</xdr:row>
      <xdr:rowOff>190500</xdr:rowOff>
    </xdr:to>
    <xdr:pic>
      <xdr:nvPicPr>
        <xdr:cNvPr id="3" name="Picture 1" descr="Intranet Minjustici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3624"/>
        <a:stretch>
          <a:fillRect/>
        </a:stretch>
      </xdr:blipFill>
      <xdr:spPr bwMode="auto">
        <a:xfrm>
          <a:off x="206375" y="190500"/>
          <a:ext cx="41338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CAR/Downloads/2.%20Mapa%20de%20riesgos%20DIRyPLA__%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Users\DIGITAL%20EXITO\Downloads\Corrupci&#243;n%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Desktop/Riesgos%20Seguridad%20DE%20DAI%20Ajuste%20Anexo.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03.%20Oficina%20Asesora%20de%20Planeaci&#243;n/Matriz%20de%20riesgos%20de%20seguridad%20Oficina%20Asesora%20de%20Planeaci&#243;n%202024.xlsx?8B885F6D" TargetMode="External"/><Relationship Id="rId1" Type="http://schemas.openxmlformats.org/officeDocument/2006/relationships/externalLinkPath" Target="file:///\\8B885F6D\Matriz%20de%20riesgos%20de%20seguridad%20Oficina%20Asesora%20de%20Planeaci&#243;n%202024.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04.%20Grupo%20de%20Gesti&#243;n%20Administrativa/Matriz%20de%20riesgos%20de%20seguridad%20Grupo%20de%20Gesti&#243;n%20Administrativa%202024.xlsx?68C5863D" TargetMode="External"/><Relationship Id="rId1" Type="http://schemas.openxmlformats.org/officeDocument/2006/relationships/externalLinkPath" Target="file:///\\68C5863D\Matriz%20de%20riesgos%20de%20seguridad%20Grupo%20de%20Gesti&#243;n%20Administrativa%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8C8BBDB\Matriz%20de%20riesgos%20de%20seguridad%20Oficina%20de%20Prensa%20(1).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05.%20Grupo%20de%20control%20Interno/Matriz%20de%20riesgos%20de%20seguridad%20Oficina%20de%20Control%20Interno.xlsx?45A34298" TargetMode="External"/><Relationship Id="rId1" Type="http://schemas.openxmlformats.org/officeDocument/2006/relationships/externalLinkPath" Target="file:///\\45A34298\Matriz%20de%20riesgos%20de%20seguridad%20Oficina%20de%20Control%20Intern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2024-11-07.%20Seguimiento%20matriz%20de%20riesgos%20DMASC.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07.%20Direcci&#243;n%20de%20Justicia%20Formal/Matriz%20de%20riesgos%20de%20seguridad%20Direcci&#243;n%20de%20Justicia%20Formal.xlsx?0B931D97" TargetMode="External"/><Relationship Id="rId1" Type="http://schemas.openxmlformats.org/officeDocument/2006/relationships/externalLinkPath" Target="file:///\\0B931D97\Matriz%20de%20riesgos%20de%20seguridad%20Direcci&#243;n%20de%20Justicia%20Form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DDOJ%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Direcci&#243;n%20de%20Politica%20Criminal.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0.%20Grupo%20de%20Gesti&#243;n%20Contractual/Matriz%20de%20riesgos%20de%20seguridad%20Grupo%20Gesti&#243;n%20Contractual.xlsx?5CA86F6C" TargetMode="External"/><Relationship Id="rId1" Type="http://schemas.openxmlformats.org/officeDocument/2006/relationships/externalLinkPath" Target="file:///\\5CA86F6C\Matriz%20de%20riesgos%20de%20seguridad%20Grupo%20Gesti&#243;n%20Contractual.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1.%20Secretar&#237;a%20General%20-%20Pendiente/Matriz%20de%20riesgos%20de%20seguridad%20Secretar&#237;a%20General.xlsx?209D19F0" TargetMode="External"/><Relationship Id="rId1" Type="http://schemas.openxmlformats.org/officeDocument/2006/relationships/externalLinkPath" Target="file:///\\209D19F0\Matriz%20de%20riesgos%20de%20seguridad%20Secretar&#237;a%20General.xlsx"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2.%20Direcci&#243;n%20de%20Justicia%20Transicional/Matriz%20de%20riesgos%20de%20seguridad%20Direcci&#243;n%20de%20Justicia%20Transicional.xlsx?82560BE6" TargetMode="External"/><Relationship Id="rId1" Type="http://schemas.openxmlformats.org/officeDocument/2006/relationships/externalLinkPath" Target="file:///\\82560BE6\Matriz%20de%20riesgos%20de%20seguridad%20Direcci&#243;n%20de%20Justicia%20Transicional.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3.%20Grupo%20de%20Gesti&#243;n%20documental/202411-Matriz%20de%20riesgos%20de%20seguridad%20Grupo%20de%20Gesti&#243;n%20Documental.xlsx?823AF669" TargetMode="External"/><Relationship Id="rId1" Type="http://schemas.openxmlformats.org/officeDocument/2006/relationships/externalLinkPath" Target="file:///\\823AF669\202411-Matriz%20de%20riesgos%20de%20seguridad%20Grupo%20de%20Gesti&#243;n%20Documental.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4.%20Grupo%20de%20Gesti&#243;n%20Humana/Matriz%20de%20riesgos%20de%20seguridad%20Grupo%20de%20Gesti&#243;n%20Humana.xlsx?83E9AB23" TargetMode="External"/><Relationship Id="rId1" Type="http://schemas.openxmlformats.org/officeDocument/2006/relationships/externalLinkPath" Target="file:///\\83E9AB23\Matriz%20de%20riesgos%20de%20seguridad%20Grupo%20de%20Gesti&#243;n%20Humana.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5.%20Direcci&#243;n%20Jur&#237;dica/Matriz%20de%20riesgos%20de%20seguridad%20Direcci&#243;n%20Juridica.xlsx?86AEC5AC" TargetMode="External"/><Relationship Id="rId1" Type="http://schemas.openxmlformats.org/officeDocument/2006/relationships/externalLinkPath" Target="file:///\\86AEC5AC\Matriz%20de%20riesgos%20de%20seguridad%20Direcci&#243;n%20Juridica.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6.%20Grupo%20de%20Gesti&#243;n%20Financiera%20y%20Contable/Seguim.%20Matriz_Riesgos_Seg.%20de%20la%20Informaci&#243;n_GGFC_14.11.2024.xlsx?8C2FA880" TargetMode="External"/><Relationship Id="rId1" Type="http://schemas.openxmlformats.org/officeDocument/2006/relationships/externalLinkPath" Target="file:///\\8C2FA880\Seguim.%20Matriz_Riesgos_Seg.%20de%20la%20Informaci&#243;n_GGFC_14.11.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Control%20Disciplinario%20Interno%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Grupo%20de%20almac&#233;n,%20inventarios%20y%20transporte.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21.%20Subdirecci&#243;n%20de%20Gesti&#243;n%20de%20Informaci&#243;n%20en%20Justicia/Matriz%20de%20riesgos%20de%20seguridad%20SGIJ.xlsx?22073654" TargetMode="External"/><Relationship Id="rId1" Type="http://schemas.openxmlformats.org/officeDocument/2006/relationships/externalLinkPath" Target="file:///\\22073654\Matriz%20de%20riesgos%20de%20seguridad%20SGIJ.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DTGIJ.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STSI.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FRACRU\Downloads\Matriz%20de%20riesgos%20de%20seguridad%20_seguimiento_SCFSQy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C/Desktop/Unificaci&#243;n%20matriz%20de%20activos%20y%20riesgo/Matriz%20de%20riesgos%20de%20seguridad%20DPDAR%20SEA%20y%20SCFSQE%202024%20Version%20Fina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b1f034dfa4773e4d/AAP/MJD%202023/NOVIEMBRE/Matriz%20de%20riesgos%20de%20seguridad%20modelo.xlsx"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Users/PC/Desktop/Unificaci&#243;n%20matriz%20de%20activos%20y%20riesgo/1.%20Activos%20de%20informaci&#243;n%20por%20&#193;rea-Proceso%202024/19.%20Grupo%20de%20Servicio%20al%20ciudadano/Matriz%20de%20riesgos%20de%20seguridad%20Servicio%20al%20Ciudadano.xlsx?36139D64" TargetMode="External"/><Relationship Id="rId1" Type="http://schemas.openxmlformats.org/officeDocument/2006/relationships/externalLinkPath" Target="file:///\\36139D64\Matriz%20de%20riesgos%20de%20seguridad%20Servicio%20al%20Ciudadan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PC\Desktop\Riesgos%20Seguridad%20DE%20DAI%20Ajuste%20Anex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3.%20Oficina%20Asesora%20de%20Planeaci&#243;n\Matriz%20de%20riesgos%20de%20seguridad%20Oficina%20Asesora%20de%20Planeaci&#243;n%20202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4.%20Grupo%20de%20Gesti&#243;n%20Administrativa\Matriz%20de%20riesgos%20de%20seguridad%20Grupo%20de%20Gesti&#243;n%20Administrativa%2020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5.%20Grupo%20de%20control%20Interno\Matriz%20de%20riesgos%20de%20seguridad%20Oficina%20de%20Control%20Intern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2024-11-07.%20Seguimiento%20matriz%20de%20riesgos%20DMASC.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07.%20Direcci&#243;n%20de%20Justicia%20Formal\Matriz%20de%20riesgos%20de%20seguridad%20Direcci&#243;n%20de%20Justicia%20Form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DDOJ%20202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Direcci&#243;n%20de%20Politica%20Crimi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0.%20Grupo%20de%20Gesti&#243;n%20Contractual\Matriz%20de%20riesgos%20de%20seguridad%20Grupo%20Gesti&#243;n%20Contractu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1.%20Secretar&#237;a%20General%20-%20Pendiente\Matriz%20de%20riesgos%20de%20seguridad%20Secretar&#237;a%20General.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2.%20Direcci&#243;n%20de%20Justicia%20Transicional\Matriz%20de%20riesgos%20de%20seguridad%20Direcci&#243;n%20de%20Justicia%20Transicion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3.%20Grupo%20de%20Gesti&#243;n%20documental\202411-Matriz%20de%20riesgos%20de%20seguridad%20Grupo%20de%20Gesti&#243;n%20Documenta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4.%20Grupo%20de%20Gesti&#243;n%20Humana\Matriz%20de%20riesgos%20de%20seguridad%20Grupo%20de%20Gesti&#243;n%20Human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5.%20Direcci&#243;n%20Jur&#237;dica\Matriz%20de%20riesgos%20de%20seguridad%20Direcci&#243;n%20Juridic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6.%20Grupo%20de%20Gesti&#243;n%20Financiera%20y%20Contable\Seguim.%20Matriz_Riesgos_Seg.%20de%20la%20Informaci&#243;n_GGFC_14.11.2024.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Control%20Disciplinario%20Interno%20202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Grupo%20de%20almac&#233;n,%20inventarios%20y%20transport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21.%20Subdirecci&#243;n%20de%20Gesti&#243;n%20de%20Informaci&#243;n%20en%20Justicia\Matriz%20de%20riesgos%20de%20seguridad%20SGIJ.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DTGIJ.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STSI.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Matriz%20de%20riesgos%20de%20seguridad%20DPDAR%20SEA%20y%20SCFSQE%202024%20Version%20Final.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PC\Desktop\Unificaci&#243;n%20matriz%20de%20activos%20y%20riesgo\1.%20Activos%20de%20informaci&#243;n%20por%20&#193;rea-Proceso%202024\19.%20Grupo%20de%20Servicio%20al%20ciudadano\Matriz%20de%20riesgos%20de%20seguridad%20Servicio%20al%20Ciuda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U10" t="str">
            <v>DébilModerado</v>
          </cell>
          <cell r="V10" t="str">
            <v>Débil</v>
          </cell>
        </row>
        <row r="11">
          <cell r="B11" t="str">
            <v>Acceso a la Justicia</v>
          </cell>
          <cell r="C11" t="str">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row>
        <row r="21">
          <cell r="J21">
            <v>2</v>
          </cell>
          <cell r="K21" t="str">
            <v>Improbable</v>
          </cell>
        </row>
        <row r="22">
          <cell r="J22">
            <v>3</v>
          </cell>
          <cell r="K22" t="str">
            <v>Posible</v>
          </cell>
        </row>
        <row r="23">
          <cell r="J23">
            <v>4</v>
          </cell>
          <cell r="K23" t="str">
            <v>Probable</v>
          </cell>
        </row>
        <row r="24">
          <cell r="J24">
            <v>5</v>
          </cell>
          <cell r="K24" t="str">
            <v>Casi seguro</v>
          </cell>
        </row>
        <row r="26">
          <cell r="J26">
            <v>-1</v>
          </cell>
          <cell r="K26" t="str">
            <v>Insignificante</v>
          </cell>
        </row>
        <row r="27">
          <cell r="J27">
            <v>0</v>
          </cell>
          <cell r="K27" t="str">
            <v>Insignificante</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Seguridad Información"/>
      <sheetName val="Probabilidad Seguridad Informac"/>
      <sheetName val="Corrupción"/>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Seguridad Información"/>
      <sheetName val="Probabilidad Seguridad Informac"/>
      <sheetName val="Corrupción"/>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refreshError="1"/>
      <sheetData sheetId="2" refreshError="1"/>
      <sheetData sheetId="3">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efreshError="1">
        <row r="3">
          <cell r="M3" t="str">
            <v>Rara vezInsignificante</v>
          </cell>
          <cell r="N3" t="str">
            <v>Bajo</v>
          </cell>
        </row>
        <row r="4">
          <cell r="M4" t="str">
            <v>Rara vezMenor</v>
          </cell>
          <cell r="N4" t="str">
            <v>Bajo</v>
          </cell>
        </row>
        <row r="5">
          <cell r="M5" t="str">
            <v>Rara vezModerado</v>
          </cell>
          <cell r="N5" t="str">
            <v>Moderado</v>
          </cell>
        </row>
        <row r="6">
          <cell r="M6" t="str">
            <v>Rara vezMayor</v>
          </cell>
          <cell r="N6" t="str">
            <v>Alto</v>
          </cell>
        </row>
        <row r="7">
          <cell r="M7" t="str">
            <v>Rara vezCatastrófico</v>
          </cell>
          <cell r="N7" t="str">
            <v>Extremo</v>
          </cell>
        </row>
        <row r="8">
          <cell r="M8" t="str">
            <v>ImprobableInsignificante</v>
          </cell>
          <cell r="N8" t="str">
            <v>Bajo</v>
          </cell>
        </row>
        <row r="9">
          <cell r="M9" t="str">
            <v>ImprobableMenor</v>
          </cell>
          <cell r="N9" t="str">
            <v>Bajo</v>
          </cell>
        </row>
        <row r="10">
          <cell r="M10" t="str">
            <v>ImprobableModerado</v>
          </cell>
          <cell r="N10" t="str">
            <v>Moderado</v>
          </cell>
        </row>
        <row r="11">
          <cell r="M11" t="str">
            <v>ImprobableMayor</v>
          </cell>
          <cell r="N11" t="str">
            <v>Alto</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J18">
            <v>-1</v>
          </cell>
          <cell r="K18" t="str">
            <v>Rara Vez</v>
          </cell>
          <cell r="M18" t="str">
            <v>ProbableInsignificante</v>
          </cell>
          <cell r="N18" t="str">
            <v>Moderado</v>
          </cell>
        </row>
        <row r="19">
          <cell r="J19">
            <v>0</v>
          </cell>
          <cell r="K19" t="str">
            <v>Rara Vez</v>
          </cell>
          <cell r="M19" t="str">
            <v>ProbableMenor</v>
          </cell>
          <cell r="N19" t="str">
            <v>Alto</v>
          </cell>
        </row>
        <row r="20">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Seguimiento"/>
      <sheetName val="Seguridad Información"/>
      <sheetName val="Probabilidad Seguridad Informac"/>
      <sheetName val="Corrupción"/>
      <sheetName val="Mapa de calor"/>
      <sheetName val="Matriz de calificación (2)"/>
    </sheetNames>
    <sheetDataSet>
      <sheetData sheetId="0" refreshError="1">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efreshError="1">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row>
        <row r="11">
          <cell r="B11" t="str">
            <v>Acceso a la Justicia</v>
          </cell>
          <cell r="C11" t="str">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efreshError="1">
        <row r="3">
          <cell r="M3" t="str">
            <v>Rara vezInsignificante</v>
          </cell>
          <cell r="N3" t="str">
            <v>Bajo</v>
          </cell>
          <cell r="U3" t="str">
            <v>FuerteFuerte</v>
          </cell>
          <cell r="V3" t="str">
            <v>Fuerte</v>
          </cell>
        </row>
        <row r="4">
          <cell r="M4" t="str">
            <v>Rara vezMenor</v>
          </cell>
          <cell r="N4" t="str">
            <v>Bajo</v>
          </cell>
          <cell r="U4" t="str">
            <v>FuerteModerado</v>
          </cell>
          <cell r="V4" t="str">
            <v>Moderado</v>
          </cell>
        </row>
        <row r="5">
          <cell r="M5" t="str">
            <v>Rara vezModerado</v>
          </cell>
          <cell r="N5" t="str">
            <v>Moderado</v>
          </cell>
          <cell r="U5" t="str">
            <v>FuerteDébil</v>
          </cell>
          <cell r="V5" t="str">
            <v>Débil</v>
          </cell>
        </row>
        <row r="6">
          <cell r="M6" t="str">
            <v>Rara vezMayor</v>
          </cell>
          <cell r="N6" t="str">
            <v>Alto</v>
          </cell>
          <cell r="U6" t="str">
            <v>ModeradoFuerte</v>
          </cell>
          <cell r="V6" t="str">
            <v>Moderado</v>
          </cell>
        </row>
        <row r="7">
          <cell r="M7" t="str">
            <v>Rara vezCatastrófico</v>
          </cell>
          <cell r="N7" t="str">
            <v>Extremo</v>
          </cell>
          <cell r="U7" t="str">
            <v>ModeradoModerado</v>
          </cell>
          <cell r="V7" t="str">
            <v>Moderado</v>
          </cell>
        </row>
        <row r="8">
          <cell r="M8" t="str">
            <v>ImprobableInsignificante</v>
          </cell>
          <cell r="N8" t="str">
            <v>Bajo</v>
          </cell>
          <cell r="U8" t="str">
            <v>ModeradoDébil</v>
          </cell>
          <cell r="V8" t="str">
            <v>Débil</v>
          </cell>
        </row>
        <row r="9">
          <cell r="M9" t="str">
            <v>ImprobableMenor</v>
          </cell>
          <cell r="N9" t="str">
            <v>Bajo</v>
          </cell>
          <cell r="U9" t="str">
            <v>DébilFuerte</v>
          </cell>
          <cell r="V9" t="str">
            <v>Débil</v>
          </cell>
        </row>
        <row r="10">
          <cell r="M10" t="str">
            <v>ImprobableModerado</v>
          </cell>
          <cell r="N10" t="str">
            <v>Moderado</v>
          </cell>
          <cell r="U10" t="str">
            <v>DébilModerado</v>
          </cell>
          <cell r="V10" t="str">
            <v>Débil</v>
          </cell>
        </row>
        <row r="11">
          <cell r="M11" t="str">
            <v>ImprobableMayor</v>
          </cell>
          <cell r="N11" t="str">
            <v>Alto</v>
          </cell>
          <cell r="U11" t="str">
            <v>DébilDébil</v>
          </cell>
          <cell r="V11" t="str">
            <v>Débil</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refreshError="1"/>
      <sheetData sheetId="2" refreshError="1"/>
      <sheetData sheetId="3" refreshError="1"/>
      <sheetData sheetId="4" refreshError="1">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Hoja1"/>
      <sheetName val="Matriz Riesgos Seg. Información"/>
      <sheetName val="CONTROLES"/>
      <sheetName val="Seguridad Información"/>
      <sheetName val="Probabilidad Seguridad Informac"/>
      <sheetName val="Corrupción"/>
      <sheetName val="Mapa de calor"/>
      <sheetName val="Matriz de calificación (2)"/>
    </sheetNames>
    <sheetDataSet>
      <sheetData sheetId="0">
        <row r="3">
          <cell r="B3" t="str">
            <v>Gestión del Conocimiento y la Innovación</v>
          </cell>
          <cell r="C3" t="str">
            <v>Definir las actividades necesarias para gestionar los activos de conocimiento y el desarrollo de iniciativas de innovación de la entidad, 
con el fin de identificar, asegurar, garantizar la transferencia y almacenamiento del conocimiento en pro del cumplimiento de la misión institucional.</v>
          </cell>
          <cell r="M3" t="str">
            <v>Rara vezInsignificante</v>
          </cell>
          <cell r="N3" t="str">
            <v>Bajo</v>
          </cell>
          <cell r="P3" t="str">
            <v>Bajo</v>
          </cell>
          <cell r="Q3" t="str">
            <v>Asumir el riesgo</v>
          </cell>
          <cell r="U3" t="str">
            <v>FuerteFuerte</v>
          </cell>
          <cell r="V3" t="str">
            <v>Fuerte</v>
          </cell>
        </row>
        <row r="4">
          <cell r="B4" t="str">
            <v>Gestión de la Información y las comunicaciones</v>
          </cell>
          <cell r="C4" t="str">
            <v>Proveer información oportuna, confiable, veraz y accesible a clientes internos y externos del Ministerio de Justicia y del Derecho.</v>
          </cell>
          <cell r="M4" t="str">
            <v>Rara vezMenor</v>
          </cell>
          <cell r="N4" t="str">
            <v>Bajo</v>
          </cell>
          <cell r="P4" t="str">
            <v>Moderado</v>
          </cell>
          <cell r="Q4" t="str">
            <v xml:space="preserve"> Reducir el riesgo</v>
          </cell>
          <cell r="U4" t="str">
            <v>FuerteModerado</v>
          </cell>
          <cell r="V4" t="str">
            <v>Moderado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cell r="M5" t="str">
            <v>Rara vezModerado</v>
          </cell>
          <cell r="N5" t="str">
            <v>Moderado</v>
          </cell>
          <cell r="P5" t="str">
            <v>Alto</v>
          </cell>
          <cell r="Q5" t="str">
            <v>Reducir el riesgo</v>
          </cell>
          <cell r="U5" t="str">
            <v>FuerteDébil</v>
          </cell>
          <cell r="V5" t="str">
            <v>Débil</v>
          </cell>
        </row>
        <row r="6">
          <cell r="B6" t="str">
            <v>Mejora Integral de la Gestión Institucional</v>
          </cell>
          <cell r="C6" t="str">
            <v xml:space="preserve"> Coordinar y administrar la implementación del Sistema Integrado de Gestión del Ministerio de Justicia y de Derecho, con el fin de asegurar su mejora continua, conveniencia, eficacia y eficiencia conforme con los estándares adoptados</v>
          </cell>
          <cell r="M6" t="str">
            <v>Rara vezMayor</v>
          </cell>
          <cell r="N6" t="str">
            <v>Alto</v>
          </cell>
          <cell r="P6" t="str">
            <v>Extremo</v>
          </cell>
          <cell r="Q6" t="str">
            <v>Evitar el riesgo</v>
          </cell>
          <cell r="U6" t="str">
            <v>ModeradoFuerte</v>
          </cell>
          <cell r="V6" t="str">
            <v>Moderado</v>
          </cell>
        </row>
        <row r="7">
          <cell r="B7" t="str">
            <v>Direccionamiento y Planeación Institucional</v>
          </cell>
          <cell r="C7" t="str">
            <v>Orientar la gestión del Ministerio de Justicia y del Derecho y de las entidades adscritas para que las acciones se deriven de una  planeación eficiente y articulada que optimice el uso de los recursos en el logro de los objetivos institucionales</v>
          </cell>
          <cell r="M7" t="str">
            <v>Rara vezCatastrófico</v>
          </cell>
          <cell r="N7" t="str">
            <v>Extremo</v>
          </cell>
          <cell r="U7" t="str">
            <v>ModeradoModerado</v>
          </cell>
          <cell r="V7" t="str">
            <v>Moderado</v>
          </cell>
        </row>
        <row r="8">
          <cell r="B8" t="str">
            <v>Gestión contra la Criminalidad y la Reincidencia</v>
          </cell>
          <cell r="C8" t="str">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ell>
          <cell r="K8" t="str">
            <v>Rara Vez</v>
          </cell>
          <cell r="L8">
            <v>1</v>
          </cell>
          <cell r="M8" t="str">
            <v>ImprobableInsignificante</v>
          </cell>
          <cell r="N8" t="str">
            <v>Bajo</v>
          </cell>
          <cell r="U8" t="str">
            <v>ModeradoDébil</v>
          </cell>
          <cell r="V8" t="str">
            <v>Débil</v>
          </cell>
        </row>
        <row r="9">
          <cell r="B9" t="str">
            <v>Formulación y Seguimiento de las Políticas Públicas</v>
          </cell>
          <cell r="C9" t="str">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ell>
          <cell r="K9" t="str">
            <v>Improbable</v>
          </cell>
          <cell r="L9">
            <v>2</v>
          </cell>
          <cell r="M9" t="str">
            <v>ImprobableMenor</v>
          </cell>
          <cell r="N9" t="str">
            <v>Bajo</v>
          </cell>
          <cell r="U9" t="str">
            <v>DébilFuerte</v>
          </cell>
          <cell r="V9" t="str">
            <v>Débil</v>
          </cell>
        </row>
        <row r="10">
          <cell r="B10" t="str">
            <v>Formulación y Seguimiento de Proyectos Normativos</v>
          </cell>
          <cell r="C10" t="str">
            <v>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v>
          </cell>
          <cell r="K10" t="str">
            <v>Posible</v>
          </cell>
          <cell r="L10">
            <v>3</v>
          </cell>
          <cell r="M10" t="str">
            <v>ImprobableModerado</v>
          </cell>
          <cell r="N10" t="str">
            <v>Moderado</v>
          </cell>
          <cell r="U10" t="str">
            <v>DébilModerado</v>
          </cell>
          <cell r="V10" t="str">
            <v>Débil</v>
          </cell>
        </row>
        <row r="11">
          <cell r="B11" t="str">
            <v>Acceso a la Justicia</v>
          </cell>
          <cell r="C11" t="str">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ell>
          <cell r="K11" t="str">
            <v>Probable</v>
          </cell>
          <cell r="L11">
            <v>4</v>
          </cell>
          <cell r="M11" t="str">
            <v>ImprobableMayor</v>
          </cell>
          <cell r="N11" t="str">
            <v>Alto</v>
          </cell>
          <cell r="U11" t="str">
            <v>DébilDébil</v>
          </cell>
          <cell r="V11" t="str">
            <v>Débil</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ell>
          <cell r="K12" t="str">
            <v>Casi seguro</v>
          </cell>
          <cell r="L12">
            <v>5</v>
          </cell>
          <cell r="M12" t="str">
            <v>ImprobableCatastrófico</v>
          </cell>
          <cell r="N12" t="str">
            <v>Extremo</v>
          </cell>
        </row>
        <row r="13">
          <cell r="B13" t="str">
            <v>Gestión Administrativa</v>
          </cell>
          <cell r="C13" t="str">
            <v xml:space="preserve"> Fijar los lineamientos, parámetros y actividades requeridas para garantizar la gestión de los servicios administrativos, logísticos y la administración de los bienes necesario para la operación del Ministerio de Justicia y del Derecho.</v>
          </cell>
          <cell r="K13" t="str">
            <v>Insignificante</v>
          </cell>
          <cell r="L13">
            <v>1</v>
          </cell>
          <cell r="M13" t="str">
            <v>PosibleInsignificante</v>
          </cell>
          <cell r="N13" t="str">
            <v>Bajo</v>
          </cell>
        </row>
        <row r="14">
          <cell r="B14" t="str">
            <v>Gestión Financiera</v>
          </cell>
          <cell r="C14" t="str">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ell>
          <cell r="K14" t="str">
            <v>Menor</v>
          </cell>
          <cell r="L14">
            <v>2</v>
          </cell>
          <cell r="M14" t="str">
            <v>PosibleMenor</v>
          </cell>
          <cell r="N14" t="str">
            <v>Moderado</v>
          </cell>
        </row>
        <row r="15">
          <cell r="B15" t="str">
            <v>Gestión de las Tecnologías y la Información</v>
          </cell>
          <cell r="C15" t="str">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ell>
          <cell r="K15" t="str">
            <v>Moderado</v>
          </cell>
          <cell r="L15">
            <v>3</v>
          </cell>
          <cell r="M15" t="str">
            <v>PosibleModerado</v>
          </cell>
          <cell r="N15" t="str">
            <v>Alto</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cell r="K16" t="str">
            <v>Mayor</v>
          </cell>
          <cell r="L16">
            <v>4</v>
          </cell>
          <cell r="M16" t="str">
            <v>PosibleMayor</v>
          </cell>
          <cell r="N16" t="str">
            <v>Extremo</v>
          </cell>
        </row>
        <row r="17">
          <cell r="B17" t="str">
            <v>Gestión Jurídica</v>
          </cell>
          <cell r="C17" t="str">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ell>
          <cell r="K17" t="str">
            <v>Catastrófico</v>
          </cell>
          <cell r="L17">
            <v>5</v>
          </cell>
          <cell r="M17" t="str">
            <v>PosibleCatastrófico</v>
          </cell>
          <cell r="N17" t="str">
            <v>Extremo</v>
          </cell>
        </row>
        <row r="18">
          <cell r="B18" t="str">
            <v>Gestión Documental</v>
          </cell>
          <cell r="C18" t="str">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ell>
          <cell r="J18">
            <v>-1</v>
          </cell>
          <cell r="K18" t="str">
            <v>Rara Vez</v>
          </cell>
          <cell r="M18" t="str">
            <v>ProbableInsignificante</v>
          </cell>
          <cell r="N18" t="str">
            <v>Moderado</v>
          </cell>
        </row>
        <row r="19">
          <cell r="B19" t="str">
            <v>Gestión del Talento Humano</v>
          </cell>
          <cell r="C19" t="str">
            <v xml:space="preserve"> Liderar y ejecutar las actividades propias de la administración y gestión del talento humano, aplicando la normativa vigente y los procedimientos establecidos en la entidad para contribuir a la consecución de los objtivos institucionales.</v>
          </cell>
          <cell r="J19">
            <v>0</v>
          </cell>
          <cell r="K19" t="str">
            <v>Rara Vez</v>
          </cell>
          <cell r="M19" t="str">
            <v>ProbableMenor</v>
          </cell>
          <cell r="N19" t="str">
            <v>Alto</v>
          </cell>
        </row>
        <row r="20">
          <cell r="B20" t="str">
            <v>Seguimiento y Evaluación</v>
          </cell>
          <cell r="C20" t="str">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ell>
          <cell r="J20">
            <v>1</v>
          </cell>
          <cell r="K20" t="str">
            <v>Rara Vez</v>
          </cell>
          <cell r="M20" t="str">
            <v>ProbableModerado</v>
          </cell>
          <cell r="N20" t="str">
            <v>Alto</v>
          </cell>
        </row>
        <row r="21">
          <cell r="J21">
            <v>2</v>
          </cell>
          <cell r="K21" t="str">
            <v>Improbable</v>
          </cell>
          <cell r="M21" t="str">
            <v>ProbableMayor</v>
          </cell>
          <cell r="N21" t="str">
            <v>Extremo</v>
          </cell>
        </row>
        <row r="22">
          <cell r="J22">
            <v>3</v>
          </cell>
          <cell r="K22" t="str">
            <v>Posible</v>
          </cell>
          <cell r="M22" t="str">
            <v>ProbableCatastrófico</v>
          </cell>
          <cell r="N22" t="str">
            <v>Extremo</v>
          </cell>
        </row>
        <row r="23">
          <cell r="J23">
            <v>4</v>
          </cell>
          <cell r="K23" t="str">
            <v>Probable</v>
          </cell>
          <cell r="M23" t="str">
            <v>Casi seguroInsignificante</v>
          </cell>
          <cell r="N23" t="str">
            <v>Alto</v>
          </cell>
        </row>
        <row r="24">
          <cell r="J24">
            <v>5</v>
          </cell>
          <cell r="K24" t="str">
            <v>Casi seguro</v>
          </cell>
          <cell r="M24" t="str">
            <v>Casi seguroMenor</v>
          </cell>
          <cell r="N24" t="str">
            <v>Alto</v>
          </cell>
        </row>
        <row r="25">
          <cell r="M25" t="str">
            <v>Casi seguroModerado</v>
          </cell>
          <cell r="N25" t="str">
            <v>Extremo</v>
          </cell>
        </row>
        <row r="26">
          <cell r="J26">
            <v>-1</v>
          </cell>
          <cell r="K26" t="str">
            <v>Insignificante</v>
          </cell>
          <cell r="M26" t="str">
            <v>Casi seguroMayor</v>
          </cell>
          <cell r="N26" t="str">
            <v>Extremo</v>
          </cell>
        </row>
        <row r="27">
          <cell r="J27">
            <v>0</v>
          </cell>
          <cell r="K27" t="str">
            <v>Insignificante</v>
          </cell>
          <cell r="M27" t="str">
            <v>Casi seguroCatastrófico</v>
          </cell>
          <cell r="N27" t="str">
            <v>Extremo</v>
          </cell>
        </row>
        <row r="28">
          <cell r="J28">
            <v>1</v>
          </cell>
          <cell r="K28" t="str">
            <v>Insignificante</v>
          </cell>
        </row>
        <row r="29">
          <cell r="J29">
            <v>2</v>
          </cell>
          <cell r="K29" t="str">
            <v>Menor</v>
          </cell>
        </row>
        <row r="30">
          <cell r="J30">
            <v>3</v>
          </cell>
          <cell r="K30" t="str">
            <v>Moderado</v>
          </cell>
        </row>
        <row r="31">
          <cell r="J31">
            <v>4</v>
          </cell>
          <cell r="K31" t="str">
            <v>Mayor</v>
          </cell>
        </row>
        <row r="32">
          <cell r="J32">
            <v>5</v>
          </cell>
          <cell r="K32" t="str">
            <v>Catastrófico</v>
          </cell>
        </row>
      </sheetData>
      <sheetData sheetId="1" refreshError="1"/>
      <sheetData sheetId="2" refreshError="1"/>
      <sheetData sheetId="3" refreshError="1"/>
      <sheetData sheetId="4">
        <row r="61">
          <cell r="C61" t="str">
            <v>Automático</v>
          </cell>
          <cell r="D61">
            <v>100</v>
          </cell>
          <cell r="E61" t="str">
            <v>Aprobado y divulgado</v>
          </cell>
          <cell r="F61">
            <v>100</v>
          </cell>
          <cell r="G61" t="str">
            <v>Si y las métricas se tienen en cuenta en los indicadores</v>
          </cell>
          <cell r="H61">
            <v>100</v>
          </cell>
          <cell r="I61" t="str">
            <v>Altamente efectivo</v>
          </cell>
          <cell r="J61">
            <v>100</v>
          </cell>
        </row>
        <row r="62">
          <cell r="C62" t="str">
            <v>Semiautomático</v>
          </cell>
          <cell r="D62">
            <v>60</v>
          </cell>
          <cell r="E62" t="str">
            <v>Aprobado no divulgado</v>
          </cell>
          <cell r="F62">
            <v>60</v>
          </cell>
          <cell r="G62" t="str">
            <v>Se mide periódicamente o por demanda y se lleva un registro</v>
          </cell>
          <cell r="H62">
            <v>60</v>
          </cell>
          <cell r="I62" t="str">
            <v>Medianamente efectivo</v>
          </cell>
          <cell r="J62">
            <v>60</v>
          </cell>
        </row>
        <row r="63">
          <cell r="C63" t="str">
            <v>Manual</v>
          </cell>
          <cell r="D63">
            <v>20</v>
          </cell>
          <cell r="E63" t="str">
            <v>Documentado</v>
          </cell>
          <cell r="F63">
            <v>40</v>
          </cell>
          <cell r="G63" t="str">
            <v>Se mide periódicamente o por demandapero no se lleva un registro</v>
          </cell>
          <cell r="H63">
            <v>40</v>
          </cell>
          <cell r="I63" t="str">
            <v>Poco efectivo</v>
          </cell>
          <cell r="J63">
            <v>20</v>
          </cell>
        </row>
        <row r="64">
          <cell r="E64" t="str">
            <v>No documentado</v>
          </cell>
          <cell r="F64">
            <v>0</v>
          </cell>
          <cell r="G64" t="str">
            <v>No se mide</v>
          </cell>
          <cell r="H64">
            <v>0</v>
          </cell>
          <cell r="I64" t="str">
            <v>No se realizaron pruebas</v>
          </cell>
          <cell r="J64">
            <v>0</v>
          </cell>
        </row>
        <row r="65">
          <cell r="I65" t="str">
            <v>No Aplica</v>
          </cell>
          <cell r="J65" t="str">
            <v>NA</v>
          </cell>
        </row>
      </sheetData>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Información"/>
      <sheetName val="Listados"/>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Información"/>
      <sheetName val="Listados"/>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Información"/>
      <sheetName val="Listados"/>
    </sheetNames>
    <sheetDataSet>
      <sheetData sheetId="0"/>
      <sheetData sheetId="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Seguridad Información"/>
      <sheetName val="Corrupción"/>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32"/>
  <sheetViews>
    <sheetView zoomScaleNormal="100" workbookViewId="0">
      <selection activeCell="C17" sqref="C17"/>
    </sheetView>
  </sheetViews>
  <sheetFormatPr defaultColWidth="11.42578125" defaultRowHeight="30" customHeight="1"/>
  <cols>
    <col min="1" max="1" width="15" style="80" bestFit="1" customWidth="1"/>
    <col min="2" max="2" width="48.7109375" style="80" bestFit="1" customWidth="1"/>
    <col min="3" max="3" width="48.7109375" style="80" customWidth="1"/>
    <col min="4" max="4" width="11.42578125" style="80" customWidth="1"/>
    <col min="5" max="5" width="13.28515625" style="80" customWidth="1"/>
    <col min="6" max="6" width="12.28515625" style="80" bestFit="1" customWidth="1"/>
    <col min="7" max="7" width="23.5703125" style="80" customWidth="1"/>
    <col min="8" max="8" width="24.85546875" style="80" customWidth="1"/>
    <col min="9" max="9" width="17.7109375" style="80" customWidth="1"/>
    <col min="10" max="10" width="11.42578125" style="80"/>
    <col min="11" max="11" width="17.140625" style="80" customWidth="1"/>
    <col min="12" max="12" width="19.5703125" style="80" customWidth="1"/>
    <col min="13" max="13" width="37.28515625" style="80" customWidth="1"/>
    <col min="14" max="14" width="21.42578125" style="80" customWidth="1"/>
    <col min="15" max="20" width="11.42578125" style="80"/>
    <col min="21" max="21" width="19.42578125" style="80" bestFit="1" customWidth="1"/>
    <col min="22" max="16384" width="11.42578125" style="80"/>
  </cols>
  <sheetData>
    <row r="2" spans="1:24" ht="30" customHeight="1" thickBot="1">
      <c r="A2" s="81" t="s">
        <v>0</v>
      </c>
      <c r="B2" s="81" t="s">
        <v>1</v>
      </c>
      <c r="C2" s="81" t="s">
        <v>2</v>
      </c>
      <c r="D2" s="81" t="s">
        <v>3</v>
      </c>
      <c r="E2" s="81" t="s">
        <v>4</v>
      </c>
      <c r="F2" s="81" t="s">
        <v>5</v>
      </c>
      <c r="G2" s="81" t="s">
        <v>6</v>
      </c>
      <c r="H2" s="81" t="s">
        <v>7</v>
      </c>
      <c r="I2" s="81" t="s">
        <v>8</v>
      </c>
      <c r="K2" s="81" t="s">
        <v>5</v>
      </c>
      <c r="L2" s="81" t="s">
        <v>6</v>
      </c>
      <c r="M2" s="81" t="s">
        <v>9</v>
      </c>
      <c r="P2" s="81" t="s">
        <v>10</v>
      </c>
      <c r="S2" s="274" t="s">
        <v>11</v>
      </c>
      <c r="T2" s="274"/>
      <c r="U2" s="274"/>
      <c r="V2" s="274"/>
      <c r="W2" s="80" t="s">
        <v>12</v>
      </c>
    </row>
    <row r="3" spans="1:24" ht="30" customHeight="1" thickBot="1">
      <c r="A3" s="80" t="s">
        <v>13</v>
      </c>
      <c r="B3" s="432" t="s">
        <v>14</v>
      </c>
      <c r="C3" s="433" t="s">
        <v>15</v>
      </c>
      <c r="D3" s="80" t="s">
        <v>16</v>
      </c>
      <c r="E3" s="80" t="s">
        <v>17</v>
      </c>
      <c r="F3" s="82" t="s">
        <v>18</v>
      </c>
      <c r="G3" s="82" t="s">
        <v>19</v>
      </c>
      <c r="H3" s="80" t="s">
        <v>20</v>
      </c>
      <c r="I3" s="80" t="s">
        <v>21</v>
      </c>
      <c r="K3" s="82" t="s">
        <v>22</v>
      </c>
      <c r="L3" s="82" t="s">
        <v>19</v>
      </c>
      <c r="M3" s="80" t="s">
        <v>23</v>
      </c>
      <c r="N3" s="80" t="s">
        <v>24</v>
      </c>
      <c r="P3" s="80" t="s">
        <v>24</v>
      </c>
      <c r="Q3" s="80" t="s">
        <v>25</v>
      </c>
      <c r="S3" s="80" t="s">
        <v>26</v>
      </c>
      <c r="T3" s="80" t="s">
        <v>26</v>
      </c>
      <c r="U3" s="80" t="str">
        <f>+CONCATENATE(S3,T3)</f>
        <v>FuerteFuerte</v>
      </c>
      <c r="V3" s="80" t="s">
        <v>26</v>
      </c>
      <c r="W3" s="83" t="s">
        <v>27</v>
      </c>
      <c r="X3" s="84"/>
    </row>
    <row r="4" spans="1:24" ht="49.5" customHeight="1" thickBot="1">
      <c r="A4" s="80" t="s">
        <v>13</v>
      </c>
      <c r="B4" s="432" t="s">
        <v>28</v>
      </c>
      <c r="C4" s="433" t="s">
        <v>29</v>
      </c>
      <c r="D4" s="80" t="s">
        <v>30</v>
      </c>
      <c r="E4" s="80" t="s">
        <v>31</v>
      </c>
      <c r="F4" s="82" t="s">
        <v>32</v>
      </c>
      <c r="G4" s="82" t="s">
        <v>33</v>
      </c>
      <c r="H4" s="82" t="s">
        <v>34</v>
      </c>
      <c r="I4" s="80" t="s">
        <v>35</v>
      </c>
      <c r="K4" s="82" t="s">
        <v>32</v>
      </c>
      <c r="L4" s="82" t="s">
        <v>33</v>
      </c>
      <c r="M4" s="80" t="s">
        <v>36</v>
      </c>
      <c r="N4" s="80" t="s">
        <v>24</v>
      </c>
      <c r="P4" s="80" t="s">
        <v>37</v>
      </c>
      <c r="Q4" s="80" t="s">
        <v>38</v>
      </c>
      <c r="S4" s="80" t="s">
        <v>26</v>
      </c>
      <c r="T4" s="80" t="s">
        <v>37</v>
      </c>
      <c r="U4" s="80" t="str">
        <f t="shared" ref="U4:U11" si="0">+CONCATENATE(S4,T4)</f>
        <v>FuerteModerado</v>
      </c>
      <c r="V4" s="80" t="s">
        <v>37</v>
      </c>
      <c r="W4" s="83" t="s">
        <v>39</v>
      </c>
    </row>
    <row r="5" spans="1:24" ht="30" customHeight="1" thickBot="1">
      <c r="A5" s="80" t="s">
        <v>13</v>
      </c>
      <c r="B5" s="432" t="s">
        <v>40</v>
      </c>
      <c r="C5" s="433" t="s">
        <v>41</v>
      </c>
      <c r="D5" s="80" t="s">
        <v>42</v>
      </c>
      <c r="F5" s="82" t="s">
        <v>43</v>
      </c>
      <c r="G5" s="82" t="s">
        <v>37</v>
      </c>
      <c r="H5" s="80" t="s">
        <v>44</v>
      </c>
      <c r="K5" s="82" t="s">
        <v>45</v>
      </c>
      <c r="L5" s="82" t="s">
        <v>37</v>
      </c>
      <c r="M5" s="80" t="s">
        <v>46</v>
      </c>
      <c r="N5" s="80" t="s">
        <v>37</v>
      </c>
      <c r="P5" s="80" t="s">
        <v>47</v>
      </c>
      <c r="Q5" s="80" t="s">
        <v>48</v>
      </c>
      <c r="S5" s="80" t="s">
        <v>26</v>
      </c>
      <c r="T5" s="80" t="s">
        <v>49</v>
      </c>
      <c r="U5" s="80" t="str">
        <f t="shared" si="0"/>
        <v>FuerteDébil</v>
      </c>
      <c r="V5" s="80" t="s">
        <v>49</v>
      </c>
      <c r="W5" s="83" t="s">
        <v>50</v>
      </c>
    </row>
    <row r="6" spans="1:24" ht="30" customHeight="1" thickBot="1">
      <c r="A6" s="80" t="s">
        <v>13</v>
      </c>
      <c r="B6" s="432" t="s">
        <v>51</v>
      </c>
      <c r="C6" s="433" t="s">
        <v>52</v>
      </c>
      <c r="D6" s="80" t="s">
        <v>53</v>
      </c>
      <c r="F6" s="82" t="s">
        <v>54</v>
      </c>
      <c r="G6" s="82" t="s">
        <v>55</v>
      </c>
      <c r="H6" s="80" t="s">
        <v>56</v>
      </c>
      <c r="K6" s="82" t="s">
        <v>54</v>
      </c>
      <c r="L6" s="82" t="s">
        <v>55</v>
      </c>
      <c r="M6" s="80" t="s">
        <v>57</v>
      </c>
      <c r="N6" s="80" t="s">
        <v>47</v>
      </c>
      <c r="P6" s="80" t="s">
        <v>58</v>
      </c>
      <c r="Q6" s="80" t="s">
        <v>59</v>
      </c>
      <c r="S6" s="80" t="s">
        <v>37</v>
      </c>
      <c r="T6" s="80" t="s">
        <v>26</v>
      </c>
      <c r="U6" s="80" t="str">
        <f t="shared" si="0"/>
        <v>ModeradoFuerte</v>
      </c>
      <c r="V6" s="80" t="s">
        <v>37</v>
      </c>
      <c r="W6" s="83" t="s">
        <v>60</v>
      </c>
    </row>
    <row r="7" spans="1:24" ht="60.75" customHeight="1">
      <c r="A7" s="85" t="s">
        <v>13</v>
      </c>
      <c r="B7" s="434" t="s">
        <v>61</v>
      </c>
      <c r="C7" s="433" t="s">
        <v>62</v>
      </c>
      <c r="D7" s="80" t="s">
        <v>63</v>
      </c>
      <c r="F7" s="82" t="s">
        <v>64</v>
      </c>
      <c r="G7" s="82" t="s">
        <v>65</v>
      </c>
      <c r="H7" s="82"/>
      <c r="K7" s="82" t="s">
        <v>64</v>
      </c>
      <c r="L7" s="82" t="s">
        <v>65</v>
      </c>
      <c r="M7" s="80" t="s">
        <v>66</v>
      </c>
      <c r="N7" s="80" t="s">
        <v>58</v>
      </c>
      <c r="S7" s="80" t="s">
        <v>37</v>
      </c>
      <c r="T7" s="80" t="s">
        <v>37</v>
      </c>
      <c r="U7" s="80" t="str">
        <f t="shared" si="0"/>
        <v>ModeradoModerado</v>
      </c>
      <c r="V7" s="80" t="s">
        <v>37</v>
      </c>
      <c r="W7" s="83" t="s">
        <v>67</v>
      </c>
    </row>
    <row r="8" spans="1:24" ht="30" customHeight="1">
      <c r="A8" s="80" t="s">
        <v>68</v>
      </c>
      <c r="B8" s="432" t="s">
        <v>69</v>
      </c>
      <c r="C8" s="433" t="s">
        <v>70</v>
      </c>
      <c r="D8" s="80" t="s">
        <v>71</v>
      </c>
      <c r="K8" s="82" t="s">
        <v>22</v>
      </c>
      <c r="L8" s="80">
        <v>1</v>
      </c>
      <c r="M8" s="80" t="s">
        <v>72</v>
      </c>
      <c r="N8" s="80" t="s">
        <v>24</v>
      </c>
      <c r="S8" s="80" t="s">
        <v>37</v>
      </c>
      <c r="T8" s="80" t="s">
        <v>49</v>
      </c>
      <c r="U8" s="80" t="str">
        <f t="shared" si="0"/>
        <v>ModeradoDébil</v>
      </c>
      <c r="V8" s="80" t="s">
        <v>49</v>
      </c>
    </row>
    <row r="9" spans="1:24" ht="30" customHeight="1">
      <c r="A9" s="80" t="s">
        <v>68</v>
      </c>
      <c r="B9" s="432" t="s">
        <v>73</v>
      </c>
      <c r="C9" s="433" t="s">
        <v>74</v>
      </c>
      <c r="K9" s="82" t="s">
        <v>32</v>
      </c>
      <c r="L9" s="80">
        <v>2</v>
      </c>
      <c r="M9" s="80" t="s">
        <v>75</v>
      </c>
      <c r="N9" s="80" t="s">
        <v>24</v>
      </c>
      <c r="S9" s="80" t="s">
        <v>49</v>
      </c>
      <c r="T9" s="80" t="s">
        <v>26</v>
      </c>
      <c r="U9" s="80" t="str">
        <f t="shared" si="0"/>
        <v>DébilFuerte</v>
      </c>
      <c r="V9" s="80" t="s">
        <v>49</v>
      </c>
    </row>
    <row r="10" spans="1:24" ht="30" customHeight="1">
      <c r="A10" s="80" t="s">
        <v>68</v>
      </c>
      <c r="B10" s="432" t="s">
        <v>76</v>
      </c>
      <c r="C10" s="433" t="s">
        <v>77</v>
      </c>
      <c r="K10" s="82" t="s">
        <v>45</v>
      </c>
      <c r="L10" s="80">
        <v>3</v>
      </c>
      <c r="M10" s="80" t="s">
        <v>78</v>
      </c>
      <c r="N10" s="80" t="s">
        <v>37</v>
      </c>
      <c r="S10" s="80" t="s">
        <v>49</v>
      </c>
      <c r="T10" s="80" t="s">
        <v>37</v>
      </c>
      <c r="U10" s="80" t="str">
        <f t="shared" si="0"/>
        <v>DébilModerado</v>
      </c>
      <c r="V10" s="80" t="s">
        <v>49</v>
      </c>
    </row>
    <row r="11" spans="1:24" ht="30" customHeight="1">
      <c r="A11" s="80" t="s">
        <v>68</v>
      </c>
      <c r="B11" s="432" t="s">
        <v>79</v>
      </c>
      <c r="C11" s="433" t="s">
        <v>80</v>
      </c>
      <c r="K11" s="82" t="s">
        <v>54</v>
      </c>
      <c r="L11" s="80">
        <v>4</v>
      </c>
      <c r="M11" s="80" t="s">
        <v>81</v>
      </c>
      <c r="N11" s="80" t="s">
        <v>47</v>
      </c>
      <c r="S11" s="80" t="s">
        <v>49</v>
      </c>
      <c r="T11" s="80" t="s">
        <v>49</v>
      </c>
      <c r="U11" s="80" t="str">
        <f t="shared" si="0"/>
        <v>DébilDébil</v>
      </c>
      <c r="V11" s="80" t="s">
        <v>49</v>
      </c>
    </row>
    <row r="12" spans="1:24" ht="30" customHeight="1">
      <c r="A12" s="80" t="s">
        <v>68</v>
      </c>
      <c r="B12" s="432" t="s">
        <v>82</v>
      </c>
      <c r="C12" s="433" t="s">
        <v>83</v>
      </c>
      <c r="K12" s="82" t="s">
        <v>64</v>
      </c>
      <c r="L12" s="80">
        <v>5</v>
      </c>
      <c r="M12" s="80" t="s">
        <v>84</v>
      </c>
      <c r="N12" s="80" t="s">
        <v>58</v>
      </c>
    </row>
    <row r="13" spans="1:24" ht="30" customHeight="1">
      <c r="A13" s="80" t="s">
        <v>85</v>
      </c>
      <c r="B13" s="432" t="s">
        <v>86</v>
      </c>
      <c r="C13" s="433" t="s">
        <v>87</v>
      </c>
      <c r="K13" s="82" t="s">
        <v>19</v>
      </c>
      <c r="L13" s="80">
        <v>1</v>
      </c>
      <c r="M13" s="80" t="s">
        <v>88</v>
      </c>
      <c r="N13" s="80" t="s">
        <v>24</v>
      </c>
    </row>
    <row r="14" spans="1:24" ht="30" customHeight="1">
      <c r="A14" s="80" t="s">
        <v>85</v>
      </c>
      <c r="B14" s="432" t="s">
        <v>89</v>
      </c>
      <c r="C14" s="433" t="s">
        <v>90</v>
      </c>
      <c r="K14" s="82" t="s">
        <v>33</v>
      </c>
      <c r="L14" s="80">
        <v>2</v>
      </c>
      <c r="M14" s="80" t="s">
        <v>91</v>
      </c>
      <c r="N14" s="80" t="s">
        <v>37</v>
      </c>
    </row>
    <row r="15" spans="1:24" ht="30" customHeight="1">
      <c r="A15" s="80" t="s">
        <v>85</v>
      </c>
      <c r="B15" s="432" t="s">
        <v>92</v>
      </c>
      <c r="C15" s="433" t="s">
        <v>93</v>
      </c>
      <c r="K15" s="82" t="s">
        <v>37</v>
      </c>
      <c r="L15" s="80">
        <v>3</v>
      </c>
      <c r="M15" s="80" t="s">
        <v>94</v>
      </c>
      <c r="N15" s="80" t="s">
        <v>47</v>
      </c>
    </row>
    <row r="16" spans="1:24" ht="30" customHeight="1">
      <c r="A16" s="80" t="s">
        <v>85</v>
      </c>
      <c r="B16" s="432" t="s">
        <v>95</v>
      </c>
      <c r="C16" s="433" t="s">
        <v>96</v>
      </c>
      <c r="K16" s="82" t="s">
        <v>55</v>
      </c>
      <c r="L16" s="80">
        <v>4</v>
      </c>
      <c r="M16" s="80" t="s">
        <v>97</v>
      </c>
      <c r="N16" s="80" t="s">
        <v>58</v>
      </c>
    </row>
    <row r="17" spans="1:14" ht="30" customHeight="1">
      <c r="A17" s="80" t="s">
        <v>85</v>
      </c>
      <c r="B17" s="432" t="s">
        <v>98</v>
      </c>
      <c r="C17" s="433" t="s">
        <v>99</v>
      </c>
      <c r="K17" s="82" t="s">
        <v>65</v>
      </c>
      <c r="L17" s="80">
        <v>5</v>
      </c>
      <c r="M17" s="80" t="s">
        <v>100</v>
      </c>
      <c r="N17" s="80" t="s">
        <v>58</v>
      </c>
    </row>
    <row r="18" spans="1:14" ht="30" customHeight="1">
      <c r="A18" s="80" t="s">
        <v>85</v>
      </c>
      <c r="B18" s="432" t="s">
        <v>101</v>
      </c>
      <c r="C18" s="433" t="s">
        <v>102</v>
      </c>
      <c r="J18" s="80">
        <v>-1</v>
      </c>
      <c r="K18" s="82" t="s">
        <v>22</v>
      </c>
      <c r="M18" s="80" t="s">
        <v>103</v>
      </c>
      <c r="N18" s="80" t="s">
        <v>37</v>
      </c>
    </row>
    <row r="19" spans="1:14" ht="30" customHeight="1">
      <c r="A19" s="80" t="s">
        <v>13</v>
      </c>
      <c r="B19" s="432" t="s">
        <v>104</v>
      </c>
      <c r="C19" s="433" t="s">
        <v>105</v>
      </c>
      <c r="J19" s="80">
        <v>0</v>
      </c>
      <c r="K19" s="82" t="s">
        <v>22</v>
      </c>
      <c r="M19" s="80" t="s">
        <v>106</v>
      </c>
      <c r="N19" s="80" t="s">
        <v>47</v>
      </c>
    </row>
    <row r="20" spans="1:14" ht="30" customHeight="1">
      <c r="A20" s="80" t="s">
        <v>9</v>
      </c>
      <c r="B20" s="432" t="s">
        <v>107</v>
      </c>
      <c r="C20" s="433" t="s">
        <v>108</v>
      </c>
      <c r="J20" s="80">
        <v>1</v>
      </c>
      <c r="K20" s="82" t="s">
        <v>22</v>
      </c>
      <c r="M20" s="80" t="s">
        <v>109</v>
      </c>
      <c r="N20" s="80" t="s">
        <v>47</v>
      </c>
    </row>
    <row r="21" spans="1:14" ht="30" customHeight="1">
      <c r="J21" s="80">
        <v>2</v>
      </c>
      <c r="K21" s="82" t="s">
        <v>32</v>
      </c>
      <c r="M21" s="80" t="s">
        <v>110</v>
      </c>
      <c r="N21" s="80" t="s">
        <v>58</v>
      </c>
    </row>
    <row r="22" spans="1:14" ht="30" customHeight="1">
      <c r="J22" s="80">
        <v>3</v>
      </c>
      <c r="K22" s="82" t="s">
        <v>45</v>
      </c>
      <c r="M22" s="80" t="s">
        <v>111</v>
      </c>
      <c r="N22" s="80" t="s">
        <v>58</v>
      </c>
    </row>
    <row r="23" spans="1:14" ht="30" customHeight="1">
      <c r="J23" s="80">
        <v>4</v>
      </c>
      <c r="K23" s="82" t="s">
        <v>54</v>
      </c>
      <c r="M23" s="80" t="s">
        <v>112</v>
      </c>
      <c r="N23" s="80" t="s">
        <v>47</v>
      </c>
    </row>
    <row r="24" spans="1:14" ht="30" customHeight="1">
      <c r="J24" s="80">
        <v>5</v>
      </c>
      <c r="K24" s="82" t="s">
        <v>64</v>
      </c>
      <c r="M24" s="80" t="s">
        <v>113</v>
      </c>
      <c r="N24" s="80" t="s">
        <v>47</v>
      </c>
    </row>
    <row r="25" spans="1:14" ht="30" customHeight="1">
      <c r="B25" s="81" t="s">
        <v>114</v>
      </c>
      <c r="C25" s="81" t="s">
        <v>115</v>
      </c>
      <c r="E25" s="81" t="s">
        <v>116</v>
      </c>
      <c r="G25" s="81" t="s">
        <v>117</v>
      </c>
      <c r="M25" s="80" t="s">
        <v>118</v>
      </c>
      <c r="N25" s="80" t="s">
        <v>58</v>
      </c>
    </row>
    <row r="26" spans="1:14" ht="30" customHeight="1">
      <c r="B26" s="80" t="s">
        <v>119</v>
      </c>
      <c r="C26" s="80" t="s">
        <v>120</v>
      </c>
      <c r="E26" s="80" t="s">
        <v>121</v>
      </c>
      <c r="G26" s="80" t="s">
        <v>21</v>
      </c>
      <c r="J26" s="80">
        <v>-1</v>
      </c>
      <c r="K26" s="82" t="s">
        <v>19</v>
      </c>
      <c r="M26" s="80" t="s">
        <v>122</v>
      </c>
      <c r="N26" s="80" t="s">
        <v>58</v>
      </c>
    </row>
    <row r="27" spans="1:14" ht="30" customHeight="1">
      <c r="B27" s="80" t="s">
        <v>123</v>
      </c>
      <c r="C27" s="80" t="s">
        <v>124</v>
      </c>
      <c r="E27" s="80" t="s">
        <v>125</v>
      </c>
      <c r="G27" s="80" t="s">
        <v>126</v>
      </c>
      <c r="J27" s="80">
        <v>0</v>
      </c>
      <c r="K27" s="82" t="s">
        <v>19</v>
      </c>
      <c r="M27" s="80" t="s">
        <v>127</v>
      </c>
      <c r="N27" s="80" t="s">
        <v>58</v>
      </c>
    </row>
    <row r="28" spans="1:14" ht="30" customHeight="1">
      <c r="C28" s="80" t="s">
        <v>128</v>
      </c>
      <c r="E28" s="80" t="s">
        <v>129</v>
      </c>
      <c r="J28" s="80">
        <v>1</v>
      </c>
      <c r="K28" s="82" t="s">
        <v>19</v>
      </c>
    </row>
    <row r="29" spans="1:14" ht="30" customHeight="1">
      <c r="G29" s="80" t="s">
        <v>21</v>
      </c>
      <c r="J29" s="80">
        <v>2</v>
      </c>
      <c r="K29" s="82" t="s">
        <v>33</v>
      </c>
    </row>
    <row r="30" spans="1:14" ht="30" customHeight="1">
      <c r="G30" s="80" t="s">
        <v>130</v>
      </c>
      <c r="J30" s="80">
        <v>3</v>
      </c>
      <c r="K30" s="82" t="s">
        <v>37</v>
      </c>
    </row>
    <row r="31" spans="1:14" ht="30" customHeight="1">
      <c r="J31" s="80">
        <v>4</v>
      </c>
      <c r="K31" s="82" t="s">
        <v>55</v>
      </c>
    </row>
    <row r="32" spans="1:14" ht="30" customHeight="1">
      <c r="J32" s="80">
        <v>5</v>
      </c>
      <c r="K32" s="82" t="s">
        <v>65</v>
      </c>
    </row>
  </sheetData>
  <mergeCells count="1">
    <mergeCell ref="S2:V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D15"/>
  <sheetViews>
    <sheetView topLeftCell="A4" zoomScale="90" zoomScaleNormal="90" workbookViewId="0">
      <selection activeCell="D15" sqref="D4:D15"/>
    </sheetView>
  </sheetViews>
  <sheetFormatPr defaultColWidth="11.42578125" defaultRowHeight="15"/>
  <cols>
    <col min="4" max="4" width="126" bestFit="1" customWidth="1"/>
  </cols>
  <sheetData>
    <row r="4" spans="4:4" ht="33.75">
      <c r="D4" s="42" t="s">
        <v>131</v>
      </c>
    </row>
    <row r="5" spans="4:4" ht="33.75">
      <c r="D5" s="42" t="s">
        <v>132</v>
      </c>
    </row>
    <row r="6" spans="4:4" ht="33.75">
      <c r="D6" s="42" t="s">
        <v>133</v>
      </c>
    </row>
    <row r="7" spans="4:4" ht="33.75">
      <c r="D7" s="42" t="s">
        <v>134</v>
      </c>
    </row>
    <row r="8" spans="4:4" ht="33.75">
      <c r="D8" s="42" t="s">
        <v>135</v>
      </c>
    </row>
    <row r="9" spans="4:4" ht="92.25">
      <c r="D9" s="46" t="s">
        <v>136</v>
      </c>
    </row>
    <row r="10" spans="4:4" ht="33.75">
      <c r="D10" s="45" t="s">
        <v>137</v>
      </c>
    </row>
    <row r="11" spans="4:4" ht="33.75">
      <c r="D11" s="42" t="s">
        <v>138</v>
      </c>
    </row>
    <row r="12" spans="4:4" ht="33.75">
      <c r="D12" s="42" t="s">
        <v>139</v>
      </c>
    </row>
    <row r="13" spans="4:4" ht="33.75">
      <c r="D13" s="44" t="s">
        <v>140</v>
      </c>
    </row>
    <row r="14" spans="4:4" ht="33.75">
      <c r="D14" s="42" t="s">
        <v>141</v>
      </c>
    </row>
    <row r="15" spans="4:4" ht="33.75">
      <c r="D15" s="43" t="s">
        <v>142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E28"/>
  <sheetViews>
    <sheetView topLeftCell="A4" zoomScale="110" zoomScaleNormal="110" workbookViewId="0">
      <selection activeCell="G5" sqref="G5"/>
    </sheetView>
  </sheetViews>
  <sheetFormatPr defaultColWidth="11.42578125" defaultRowHeight="15"/>
  <cols>
    <col min="1" max="1" width="4.28515625" style="56" customWidth="1"/>
    <col min="2" max="2" width="11.42578125" style="56"/>
    <col min="3" max="3" width="47.7109375" style="56" bestFit="1" customWidth="1"/>
    <col min="4" max="4" width="54.140625" style="56" customWidth="1"/>
    <col min="5" max="5" width="27.140625" style="56" customWidth="1"/>
    <col min="6" max="16384" width="11.42578125" style="56"/>
  </cols>
  <sheetData>
    <row r="5" spans="2:5" ht="14.25" customHeight="1" thickBot="1"/>
    <row r="6" spans="2:5" ht="15.75" thickBot="1">
      <c r="B6" s="57" t="s">
        <v>143</v>
      </c>
      <c r="C6" s="58" t="s">
        <v>144</v>
      </c>
      <c r="D6" s="59" t="s">
        <v>145</v>
      </c>
    </row>
    <row r="7" spans="2:5" ht="30">
      <c r="B7" s="60" t="s">
        <v>146</v>
      </c>
      <c r="C7" s="435" t="s">
        <v>147</v>
      </c>
      <c r="D7" s="61" t="s">
        <v>148</v>
      </c>
      <c r="E7" s="78"/>
    </row>
    <row r="8" spans="2:5" ht="30">
      <c r="B8" s="62" t="s">
        <v>149</v>
      </c>
      <c r="C8" s="436" t="s">
        <v>150</v>
      </c>
      <c r="D8" s="63" t="s">
        <v>151</v>
      </c>
      <c r="E8" s="437"/>
    </row>
    <row r="9" spans="2:5" ht="66" customHeight="1">
      <c r="B9" s="64" t="s">
        <v>152</v>
      </c>
      <c r="C9" s="438" t="s">
        <v>153</v>
      </c>
      <c r="D9" s="65" t="s">
        <v>154</v>
      </c>
      <c r="E9" s="439" t="s">
        <v>155</v>
      </c>
    </row>
    <row r="10" spans="2:5" ht="45">
      <c r="B10" s="66" t="s">
        <v>156</v>
      </c>
      <c r="C10" s="440" t="s">
        <v>157</v>
      </c>
      <c r="D10" s="67" t="s">
        <v>158</v>
      </c>
    </row>
    <row r="11" spans="2:5" ht="30">
      <c r="B11" s="68" t="s">
        <v>159</v>
      </c>
      <c r="C11" s="441" t="s">
        <v>160</v>
      </c>
      <c r="D11" s="69" t="s">
        <v>161</v>
      </c>
    </row>
    <row r="12" spans="2:5" ht="30">
      <c r="B12" s="70" t="s">
        <v>162</v>
      </c>
      <c r="C12" s="442" t="s">
        <v>163</v>
      </c>
      <c r="D12" s="71" t="s">
        <v>164</v>
      </c>
    </row>
    <row r="13" spans="2:5">
      <c r="B13" s="72" t="s">
        <v>165</v>
      </c>
      <c r="C13" s="443" t="s">
        <v>166</v>
      </c>
      <c r="D13" s="73" t="s">
        <v>167</v>
      </c>
    </row>
    <row r="14" spans="2:5" ht="30">
      <c r="B14" s="72" t="s">
        <v>168</v>
      </c>
      <c r="C14" s="443" t="s">
        <v>169</v>
      </c>
      <c r="D14" s="73" t="s">
        <v>170</v>
      </c>
    </row>
    <row r="15" spans="2:5" ht="30.75" thickBot="1">
      <c r="B15" s="74" t="s">
        <v>171</v>
      </c>
      <c r="C15" s="75" t="s">
        <v>172</v>
      </c>
      <c r="D15" s="76" t="s">
        <v>173</v>
      </c>
    </row>
    <row r="16" spans="2:5" ht="15.75" thickBot="1"/>
    <row r="17" spans="2:5" ht="15.75" thickBot="1">
      <c r="B17" s="275" t="s">
        <v>174</v>
      </c>
      <c r="C17" s="276"/>
      <c r="D17" s="277"/>
    </row>
    <row r="18" spans="2:5" ht="15.75" thickBot="1"/>
    <row r="19" spans="2:5">
      <c r="B19" s="278" t="str">
        <f>+CONCATENATE(D7," ",D8," ",D9," ",D10," ",D11," ",D12)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C19" s="279"/>
      <c r="D19" s="280"/>
      <c r="E19" s="56" t="s">
        <v>175</v>
      </c>
    </row>
    <row r="20" spans="2:5">
      <c r="B20" s="281"/>
      <c r="C20" s="282"/>
      <c r="D20" s="283"/>
    </row>
    <row r="21" spans="2:5">
      <c r="B21" s="281"/>
      <c r="C21" s="282"/>
      <c r="D21" s="283"/>
      <c r="E21" s="56" t="s">
        <v>176</v>
      </c>
    </row>
    <row r="22" spans="2:5">
      <c r="B22" s="281"/>
      <c r="C22" s="282"/>
      <c r="D22" s="283"/>
      <c r="E22" s="56" t="s">
        <v>177</v>
      </c>
    </row>
    <row r="23" spans="2:5">
      <c r="B23" s="281"/>
      <c r="C23" s="282"/>
      <c r="D23" s="283"/>
    </row>
    <row r="24" spans="2:5">
      <c r="B24" s="281"/>
      <c r="C24" s="282"/>
      <c r="D24" s="283"/>
    </row>
    <row r="25" spans="2:5" ht="87" customHeight="1" thickBot="1">
      <c r="B25" s="284"/>
      <c r="C25" s="285"/>
      <c r="D25" s="286"/>
    </row>
    <row r="28" spans="2:5">
      <c r="C28" s="77"/>
    </row>
  </sheetData>
  <mergeCells count="2">
    <mergeCell ref="B17:D17"/>
    <mergeCell ref="B19:D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'D:\C:\Users\DIGITAL EXITO\Downloads\[Corrupción (1).xlsx]Hoja2'!#REF!</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21"/>
  <sheetViews>
    <sheetView workbookViewId="0">
      <selection activeCell="K8" sqref="K8"/>
    </sheetView>
  </sheetViews>
  <sheetFormatPr defaultColWidth="11.42578125" defaultRowHeight="15"/>
  <cols>
    <col min="7" max="7" width="27" customWidth="1"/>
    <col min="8" max="8" width="16.28515625" customWidth="1"/>
    <col min="9" max="9" width="20.140625" customWidth="1"/>
    <col min="11" max="11" width="76.42578125" customWidth="1"/>
    <col min="12" max="12" width="39.140625" customWidth="1"/>
  </cols>
  <sheetData>
    <row r="1" spans="2:13">
      <c r="B1" s="21" t="s">
        <v>178</v>
      </c>
      <c r="G1" s="287" t="s">
        <v>179</v>
      </c>
      <c r="H1" s="287"/>
      <c r="I1" s="287"/>
      <c r="J1" s="287"/>
      <c r="K1" s="287"/>
      <c r="L1" s="287"/>
      <c r="M1" s="287"/>
    </row>
    <row r="2" spans="2:13">
      <c r="B2" s="444" t="s">
        <v>180</v>
      </c>
      <c r="G2" s="444" t="s">
        <v>180</v>
      </c>
      <c r="H2" s="270" t="s">
        <v>181</v>
      </c>
      <c r="I2" s="444" t="s">
        <v>182</v>
      </c>
      <c r="J2" s="444"/>
      <c r="K2" s="444"/>
      <c r="L2" s="271"/>
      <c r="M2" s="444"/>
    </row>
    <row r="3" spans="2:13">
      <c r="B3" s="444" t="s">
        <v>181</v>
      </c>
      <c r="G3" s="444" t="s">
        <v>183</v>
      </c>
      <c r="H3" s="270" t="s">
        <v>184</v>
      </c>
      <c r="I3" s="444" t="s">
        <v>185</v>
      </c>
      <c r="J3" s="444"/>
      <c r="K3" s="444"/>
      <c r="L3" s="271"/>
      <c r="M3" s="444"/>
    </row>
    <row r="4" spans="2:13">
      <c r="B4" s="444" t="s">
        <v>182</v>
      </c>
      <c r="G4" s="444" t="s">
        <v>186</v>
      </c>
      <c r="H4" s="444" t="s">
        <v>187</v>
      </c>
      <c r="I4" s="444" t="s">
        <v>188</v>
      </c>
      <c r="J4" s="270"/>
      <c r="K4" s="444"/>
      <c r="L4" s="271"/>
      <c r="M4" s="444"/>
    </row>
    <row r="5" spans="2:13">
      <c r="B5" s="444"/>
      <c r="G5" s="444" t="s">
        <v>189</v>
      </c>
      <c r="H5" s="444" t="s">
        <v>190</v>
      </c>
      <c r="I5" s="444" t="s">
        <v>191</v>
      </c>
      <c r="J5" s="270"/>
      <c r="K5" s="444"/>
      <c r="L5" s="271"/>
      <c r="M5" s="444"/>
    </row>
    <row r="6" spans="2:13">
      <c r="B6" s="444"/>
      <c r="G6" s="444" t="s">
        <v>192</v>
      </c>
      <c r="H6" s="444"/>
      <c r="I6" s="444"/>
      <c r="J6" s="270"/>
      <c r="K6" s="444"/>
      <c r="L6" s="271"/>
      <c r="M6" s="444"/>
    </row>
    <row r="7" spans="2:13">
      <c r="B7" s="444"/>
      <c r="G7" s="444"/>
      <c r="H7" s="444"/>
      <c r="I7" s="444"/>
      <c r="J7" s="270"/>
      <c r="K7" s="444"/>
      <c r="L7" s="271"/>
      <c r="M7" s="444"/>
    </row>
    <row r="8" spans="2:13">
      <c r="B8" s="444"/>
      <c r="G8" s="444"/>
      <c r="H8" s="444"/>
      <c r="I8" s="444"/>
      <c r="J8" s="270"/>
      <c r="K8" s="444"/>
      <c r="L8" s="271"/>
      <c r="M8" s="444"/>
    </row>
    <row r="9" spans="2:13">
      <c r="G9" s="444"/>
      <c r="H9" s="444"/>
      <c r="I9" s="444"/>
      <c r="J9" s="270"/>
      <c r="K9" s="444"/>
      <c r="M9" s="444"/>
    </row>
    <row r="10" spans="2:13">
      <c r="G10" s="79"/>
      <c r="H10" s="444"/>
      <c r="I10" s="444"/>
      <c r="J10" s="270"/>
      <c r="K10" s="444"/>
      <c r="M10" s="444"/>
    </row>
    <row r="11" spans="2:13">
      <c r="G11" s="79"/>
      <c r="H11" s="444"/>
      <c r="I11" s="444"/>
      <c r="K11" s="444"/>
      <c r="M11" s="444"/>
    </row>
    <row r="12" spans="2:13">
      <c r="B12" s="288" t="s">
        <v>193</v>
      </c>
      <c r="C12" s="289"/>
      <c r="D12" s="289"/>
      <c r="E12" s="289"/>
      <c r="F12" s="289"/>
      <c r="G12" s="289"/>
      <c r="H12" s="290"/>
      <c r="K12" s="444"/>
    </row>
    <row r="13" spans="2:13">
      <c r="B13" s="444" t="s">
        <v>194</v>
      </c>
      <c r="C13" s="271" t="s">
        <v>195</v>
      </c>
      <c r="D13" s="444" t="s">
        <v>196</v>
      </c>
      <c r="E13" s="444"/>
      <c r="F13" s="444"/>
      <c r="G13" s="271"/>
      <c r="H13" s="444"/>
      <c r="K13" s="444"/>
    </row>
    <row r="14" spans="2:13">
      <c r="B14" s="444" t="s">
        <v>197</v>
      </c>
      <c r="C14" s="271" t="s">
        <v>198</v>
      </c>
      <c r="D14" s="444" t="s">
        <v>199</v>
      </c>
      <c r="E14" s="444"/>
      <c r="F14" s="444"/>
      <c r="G14" s="271"/>
      <c r="H14" s="444"/>
      <c r="K14" s="444"/>
    </row>
    <row r="15" spans="2:13">
      <c r="B15" s="444"/>
      <c r="D15" s="444"/>
      <c r="H15" s="444"/>
      <c r="K15" s="444"/>
    </row>
    <row r="16" spans="2:13">
      <c r="B16" s="444"/>
      <c r="D16" s="444"/>
      <c r="H16" s="444"/>
      <c r="K16" s="444"/>
    </row>
    <row r="17" spans="2:11">
      <c r="H17" s="444"/>
      <c r="K17" s="444"/>
    </row>
    <row r="18" spans="2:11">
      <c r="B18" s="288" t="s">
        <v>200</v>
      </c>
      <c r="C18" s="289"/>
      <c r="D18" s="289"/>
      <c r="E18" s="289"/>
      <c r="F18" s="289"/>
      <c r="G18" s="289"/>
      <c r="H18" s="291"/>
      <c r="K18" s="444"/>
    </row>
    <row r="19" spans="2:11">
      <c r="B19" s="445" t="s">
        <v>201</v>
      </c>
      <c r="C19" s="272" t="s">
        <v>202</v>
      </c>
      <c r="D19" s="445" t="s">
        <v>203</v>
      </c>
      <c r="E19" s="445"/>
      <c r="F19" s="445"/>
      <c r="G19" s="272"/>
      <c r="H19" s="445"/>
    </row>
    <row r="20" spans="2:11">
      <c r="B20" t="s">
        <v>204</v>
      </c>
      <c r="C20" t="s">
        <v>205</v>
      </c>
      <c r="D20" t="s">
        <v>206</v>
      </c>
    </row>
    <row r="21" spans="2:11">
      <c r="B21" t="s">
        <v>207</v>
      </c>
      <c r="C21" t="s">
        <v>208</v>
      </c>
      <c r="D21" t="s">
        <v>209</v>
      </c>
    </row>
    <row r="22" spans="2:11">
      <c r="B22" t="s">
        <v>210</v>
      </c>
      <c r="D22" t="s">
        <v>211</v>
      </c>
    </row>
    <row r="24" spans="2:11">
      <c r="B24" s="10" t="s">
        <v>212</v>
      </c>
    </row>
    <row r="25" spans="2:11">
      <c r="B25" t="s">
        <v>213</v>
      </c>
    </row>
    <row r="26" spans="2:11">
      <c r="B26" t="s">
        <v>214</v>
      </c>
    </row>
    <row r="27" spans="2:11">
      <c r="B27" t="s">
        <v>215</v>
      </c>
    </row>
    <row r="28" spans="2:11">
      <c r="B28" t="s">
        <v>216</v>
      </c>
    </row>
    <row r="29" spans="2:11">
      <c r="B29" t="s">
        <v>217</v>
      </c>
    </row>
    <row r="44" spans="2:15">
      <c r="B44" s="25" t="s">
        <v>218</v>
      </c>
      <c r="C44" s="25" t="s">
        <v>219</v>
      </c>
      <c r="D44" s="25" t="s">
        <v>220</v>
      </c>
      <c r="E44" s="25" t="s">
        <v>221</v>
      </c>
      <c r="F44" s="25" t="s">
        <v>222</v>
      </c>
      <c r="G44" s="25" t="s">
        <v>223</v>
      </c>
      <c r="H44" s="25" t="s">
        <v>224</v>
      </c>
      <c r="I44" s="25" t="s">
        <v>225</v>
      </c>
      <c r="J44" s="25" t="s">
        <v>226</v>
      </c>
      <c r="K44" s="25" t="s">
        <v>227</v>
      </c>
      <c r="L44" s="25" t="s">
        <v>228</v>
      </c>
      <c r="M44" s="25" t="s">
        <v>229</v>
      </c>
      <c r="N44" s="25" t="s">
        <v>230</v>
      </c>
      <c r="O44" s="25" t="s">
        <v>231</v>
      </c>
    </row>
    <row r="45" spans="2:15">
      <c r="B45" s="24" t="s">
        <v>232</v>
      </c>
      <c r="C45" s="24" t="s">
        <v>233</v>
      </c>
      <c r="D45" s="24" t="s">
        <v>234</v>
      </c>
      <c r="E45" s="24" t="s">
        <v>235</v>
      </c>
      <c r="F45" s="24" t="s">
        <v>236</v>
      </c>
      <c r="G45" s="24" t="s">
        <v>237</v>
      </c>
      <c r="H45" s="24" t="s">
        <v>238</v>
      </c>
      <c r="I45" s="24" t="s">
        <v>239</v>
      </c>
      <c r="J45" s="24" t="s">
        <v>240</v>
      </c>
      <c r="K45" s="24" t="s">
        <v>241</v>
      </c>
      <c r="L45" s="24" t="s">
        <v>242</v>
      </c>
      <c r="M45" s="24" t="s">
        <v>243</v>
      </c>
      <c r="N45" s="24" t="s">
        <v>244</v>
      </c>
      <c r="O45" s="24" t="s">
        <v>245</v>
      </c>
    </row>
    <row r="46" spans="2:15">
      <c r="B46" s="24" t="s">
        <v>246</v>
      </c>
      <c r="C46" s="24" t="s">
        <v>247</v>
      </c>
      <c r="D46" s="24" t="s">
        <v>248</v>
      </c>
      <c r="E46" s="24" t="s">
        <v>249</v>
      </c>
      <c r="F46" s="24" t="s">
        <v>250</v>
      </c>
      <c r="G46" s="24" t="s">
        <v>251</v>
      </c>
      <c r="H46" s="24" t="s">
        <v>252</v>
      </c>
      <c r="I46" s="24" t="s">
        <v>253</v>
      </c>
      <c r="J46" s="24" t="s">
        <v>254</v>
      </c>
      <c r="K46" s="24" t="s">
        <v>255</v>
      </c>
      <c r="L46" s="24" t="s">
        <v>256</v>
      </c>
      <c r="M46" s="24" t="s">
        <v>257</v>
      </c>
      <c r="N46" s="24" t="s">
        <v>258</v>
      </c>
      <c r="O46" s="24" t="s">
        <v>259</v>
      </c>
    </row>
    <row r="47" spans="2:15">
      <c r="C47" s="24" t="s">
        <v>260</v>
      </c>
      <c r="D47" s="24" t="s">
        <v>261</v>
      </c>
      <c r="E47" s="24" t="s">
        <v>262</v>
      </c>
      <c r="F47" s="24" t="s">
        <v>263</v>
      </c>
      <c r="H47" s="24" t="s">
        <v>264</v>
      </c>
      <c r="I47" s="24" t="s">
        <v>265</v>
      </c>
      <c r="J47" s="24" t="s">
        <v>266</v>
      </c>
      <c r="K47" s="24" t="s">
        <v>267</v>
      </c>
      <c r="L47" s="24" t="s">
        <v>268</v>
      </c>
      <c r="M47" s="24" t="s">
        <v>269</v>
      </c>
      <c r="N47" s="24" t="s">
        <v>270</v>
      </c>
      <c r="O47" s="24" t="s">
        <v>271</v>
      </c>
    </row>
    <row r="48" spans="2:15">
      <c r="B48" s="24"/>
      <c r="C48" s="24" t="s">
        <v>272</v>
      </c>
      <c r="D48" s="24" t="s">
        <v>273</v>
      </c>
      <c r="E48" s="24" t="s">
        <v>274</v>
      </c>
      <c r="F48" s="24" t="s">
        <v>275</v>
      </c>
      <c r="H48" s="24" t="s">
        <v>276</v>
      </c>
      <c r="I48" s="24" t="s">
        <v>277</v>
      </c>
      <c r="J48" s="24" t="s">
        <v>278</v>
      </c>
      <c r="K48" s="24" t="s">
        <v>279</v>
      </c>
      <c r="L48" s="24" t="s">
        <v>280</v>
      </c>
      <c r="M48" s="24" t="s">
        <v>281</v>
      </c>
      <c r="N48" s="24" t="s">
        <v>282</v>
      </c>
      <c r="O48" s="24" t="s">
        <v>283</v>
      </c>
    </row>
    <row r="49" spans="2:15">
      <c r="C49" s="24" t="s">
        <v>284</v>
      </c>
      <c r="D49" s="24" t="s">
        <v>285</v>
      </c>
      <c r="E49" s="24" t="s">
        <v>286</v>
      </c>
      <c r="F49" s="24" t="s">
        <v>287</v>
      </c>
      <c r="H49" s="24" t="s">
        <v>288</v>
      </c>
      <c r="I49" s="24" t="s">
        <v>289</v>
      </c>
      <c r="J49" s="24" t="s">
        <v>290</v>
      </c>
      <c r="K49" s="24" t="s">
        <v>291</v>
      </c>
      <c r="L49" s="24" t="s">
        <v>292</v>
      </c>
      <c r="M49" s="24" t="s">
        <v>293</v>
      </c>
      <c r="N49" s="24"/>
      <c r="O49" s="24" t="s">
        <v>294</v>
      </c>
    </row>
    <row r="50" spans="2:15">
      <c r="C50" s="24" t="s">
        <v>295</v>
      </c>
      <c r="D50" s="24" t="s">
        <v>296</v>
      </c>
      <c r="E50" s="24" t="s">
        <v>297</v>
      </c>
      <c r="F50" s="24" t="s">
        <v>298</v>
      </c>
      <c r="H50" s="24" t="s">
        <v>299</v>
      </c>
      <c r="I50" s="24" t="s">
        <v>300</v>
      </c>
      <c r="J50" s="24" t="s">
        <v>301</v>
      </c>
      <c r="K50" s="24" t="s">
        <v>302</v>
      </c>
      <c r="M50" s="24" t="s">
        <v>303</v>
      </c>
      <c r="O50" s="24" t="s">
        <v>304</v>
      </c>
    </row>
    <row r="51" spans="2:15">
      <c r="C51" s="24" t="s">
        <v>305</v>
      </c>
      <c r="E51" s="24" t="s">
        <v>306</v>
      </c>
      <c r="F51" s="24" t="s">
        <v>307</v>
      </c>
      <c r="H51" s="24" t="s">
        <v>308</v>
      </c>
      <c r="I51" s="24" t="s">
        <v>309</v>
      </c>
      <c r="J51" s="24" t="s">
        <v>310</v>
      </c>
      <c r="K51" s="24" t="s">
        <v>311</v>
      </c>
      <c r="M51" s="24" t="s">
        <v>312</v>
      </c>
      <c r="O51" s="24" t="s">
        <v>313</v>
      </c>
    </row>
    <row r="52" spans="2:15">
      <c r="D52" s="24"/>
      <c r="E52" s="24" t="s">
        <v>314</v>
      </c>
      <c r="F52" s="24" t="s">
        <v>315</v>
      </c>
      <c r="H52" s="24" t="s">
        <v>316</v>
      </c>
      <c r="I52" s="24" t="s">
        <v>317</v>
      </c>
      <c r="K52" s="24" t="s">
        <v>318</v>
      </c>
      <c r="O52" s="24" t="s">
        <v>319</v>
      </c>
    </row>
    <row r="53" spans="2:15">
      <c r="E53" s="24" t="s">
        <v>320</v>
      </c>
      <c r="F53" s="24" t="s">
        <v>321</v>
      </c>
      <c r="H53" s="24" t="s">
        <v>322</v>
      </c>
      <c r="I53" s="24" t="s">
        <v>323</v>
      </c>
      <c r="K53" s="24" t="s">
        <v>324</v>
      </c>
    </row>
    <row r="54" spans="2:15">
      <c r="E54" s="24"/>
      <c r="F54" s="24" t="s">
        <v>325</v>
      </c>
      <c r="H54" s="24" t="s">
        <v>326</v>
      </c>
      <c r="I54" s="24" t="s">
        <v>327</v>
      </c>
      <c r="K54" s="24" t="s">
        <v>328</v>
      </c>
    </row>
    <row r="55" spans="2:15">
      <c r="F55" s="24" t="s">
        <v>329</v>
      </c>
      <c r="H55" s="24" t="s">
        <v>330</v>
      </c>
      <c r="I55" s="24" t="s">
        <v>331</v>
      </c>
      <c r="K55" s="24" t="s">
        <v>332</v>
      </c>
    </row>
    <row r="56" spans="2:15">
      <c r="F56" s="24" t="s">
        <v>333</v>
      </c>
      <c r="H56" s="24" t="s">
        <v>334</v>
      </c>
      <c r="I56" s="24" t="s">
        <v>335</v>
      </c>
      <c r="K56" s="24" t="s">
        <v>336</v>
      </c>
    </row>
    <row r="57" spans="2:15">
      <c r="F57" s="24" t="s">
        <v>337</v>
      </c>
      <c r="H57" s="24" t="s">
        <v>338</v>
      </c>
      <c r="I57" s="24" t="s">
        <v>339</v>
      </c>
      <c r="K57" s="24" t="s">
        <v>340</v>
      </c>
    </row>
    <row r="58" spans="2:15">
      <c r="F58" s="24" t="s">
        <v>341</v>
      </c>
      <c r="H58" s="24" t="s">
        <v>342</v>
      </c>
      <c r="I58" s="24" t="s">
        <v>343</v>
      </c>
    </row>
    <row r="59" spans="2:15">
      <c r="B59" s="24"/>
      <c r="H59" s="24" t="s">
        <v>344</v>
      </c>
      <c r="I59" s="24"/>
      <c r="K59" s="24"/>
    </row>
    <row r="60" spans="2:15">
      <c r="C60" s="26" t="s">
        <v>345</v>
      </c>
      <c r="E60" s="26" t="s">
        <v>346</v>
      </c>
      <c r="G60" t="s">
        <v>347</v>
      </c>
      <c r="I60" s="26" t="s">
        <v>348</v>
      </c>
    </row>
    <row r="61" spans="2:15">
      <c r="C61" t="s">
        <v>349</v>
      </c>
      <c r="D61" s="27">
        <v>100</v>
      </c>
      <c r="E61" s="26" t="s">
        <v>350</v>
      </c>
      <c r="F61">
        <v>100</v>
      </c>
      <c r="G61" t="s">
        <v>351</v>
      </c>
      <c r="H61">
        <v>100</v>
      </c>
      <c r="I61" s="26" t="s">
        <v>352</v>
      </c>
      <c r="J61" s="28">
        <v>100</v>
      </c>
      <c r="K61" s="24"/>
    </row>
    <row r="62" spans="2:15">
      <c r="C62" s="26" t="s">
        <v>353</v>
      </c>
      <c r="D62" s="27">
        <v>60</v>
      </c>
      <c r="E62" s="26" t="s">
        <v>354</v>
      </c>
      <c r="F62">
        <v>60</v>
      </c>
      <c r="G62" s="26" t="s">
        <v>355</v>
      </c>
      <c r="H62">
        <v>60</v>
      </c>
      <c r="I62" s="24" t="s">
        <v>356</v>
      </c>
      <c r="J62" s="28">
        <v>60</v>
      </c>
    </row>
    <row r="63" spans="2:15">
      <c r="C63" t="s">
        <v>357</v>
      </c>
      <c r="D63" s="27">
        <v>20</v>
      </c>
      <c r="E63" s="26" t="s">
        <v>358</v>
      </c>
      <c r="F63" s="24">
        <v>40</v>
      </c>
      <c r="G63" s="26" t="s">
        <v>359</v>
      </c>
      <c r="H63" s="24">
        <v>40</v>
      </c>
      <c r="I63" s="24" t="s">
        <v>360</v>
      </c>
      <c r="J63" s="28">
        <v>20</v>
      </c>
    </row>
    <row r="64" spans="2:15">
      <c r="E64" s="26" t="s">
        <v>361</v>
      </c>
      <c r="F64">
        <v>0</v>
      </c>
      <c r="G64" t="s">
        <v>362</v>
      </c>
      <c r="H64">
        <v>0</v>
      </c>
      <c r="I64" s="24" t="s">
        <v>363</v>
      </c>
      <c r="J64" s="28">
        <v>0</v>
      </c>
    </row>
    <row r="65" spans="2:11">
      <c r="I65" s="24" t="s">
        <v>364</v>
      </c>
      <c r="J65" t="s">
        <v>365</v>
      </c>
    </row>
    <row r="68" spans="2:11">
      <c r="F68" s="24"/>
    </row>
    <row r="70" spans="2:11">
      <c r="B70" s="24"/>
      <c r="K70" s="25"/>
    </row>
    <row r="71" spans="2:11">
      <c r="B71" s="24"/>
    </row>
    <row r="86" spans="2:11">
      <c r="B86" s="25"/>
    </row>
    <row r="87" spans="2:11">
      <c r="F87" s="24" t="s">
        <v>366</v>
      </c>
      <c r="K87" s="25"/>
    </row>
    <row r="110" spans="6:6">
      <c r="F110" s="24"/>
    </row>
    <row r="121" spans="6:6">
      <c r="F121" s="24"/>
    </row>
  </sheetData>
  <sortState xmlns:xlrd2="http://schemas.microsoft.com/office/spreadsheetml/2017/richdata2"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9"/>
  <sheetViews>
    <sheetView zoomScale="120" zoomScaleNormal="120" workbookViewId="0">
      <selection activeCell="F7" sqref="F7"/>
    </sheetView>
  </sheetViews>
  <sheetFormatPr defaultColWidth="11.42578125" defaultRowHeight="15"/>
  <cols>
    <col min="2" max="2" width="2.140625" bestFit="1" customWidth="1"/>
    <col min="3" max="3" width="14.42578125" bestFit="1" customWidth="1"/>
    <col min="4" max="5" width="39.140625" customWidth="1"/>
  </cols>
  <sheetData>
    <row r="2" spans="2:5" ht="15.75" thickBot="1"/>
    <row r="3" spans="2:5">
      <c r="B3" s="292" t="s">
        <v>367</v>
      </c>
      <c r="C3" s="293"/>
      <c r="D3" s="293"/>
      <c r="E3" s="294"/>
    </row>
    <row r="4" spans="2:5" ht="15.75" thickBot="1">
      <c r="B4" s="295" t="s">
        <v>368</v>
      </c>
      <c r="C4" s="296"/>
      <c r="D4" s="41" t="s">
        <v>369</v>
      </c>
      <c r="E4" s="29" t="s">
        <v>370</v>
      </c>
    </row>
    <row r="5" spans="2:5" ht="25.5">
      <c r="B5" s="30">
        <v>5</v>
      </c>
      <c r="C5" s="31" t="s">
        <v>64</v>
      </c>
      <c r="D5" s="32" t="s">
        <v>371</v>
      </c>
      <c r="E5" s="33" t="s">
        <v>372</v>
      </c>
    </row>
    <row r="6" spans="2:5" ht="25.5">
      <c r="B6" s="34">
        <v>4</v>
      </c>
      <c r="C6" s="446" t="s">
        <v>54</v>
      </c>
      <c r="D6" s="447" t="s">
        <v>373</v>
      </c>
      <c r="E6" s="35" t="s">
        <v>374</v>
      </c>
    </row>
    <row r="7" spans="2:5" ht="25.5">
      <c r="B7" s="34">
        <v>3</v>
      </c>
      <c r="C7" s="446" t="s">
        <v>45</v>
      </c>
      <c r="D7" s="447" t="s">
        <v>375</v>
      </c>
      <c r="E7" s="35" t="s">
        <v>376</v>
      </c>
    </row>
    <row r="8" spans="2:5" ht="25.5">
      <c r="B8" s="34">
        <v>2</v>
      </c>
      <c r="C8" s="446" t="s">
        <v>32</v>
      </c>
      <c r="D8" s="447" t="s">
        <v>377</v>
      </c>
      <c r="E8" s="35" t="s">
        <v>378</v>
      </c>
    </row>
    <row r="9" spans="2:5" ht="26.25" thickBot="1">
      <c r="B9" s="36">
        <v>1</v>
      </c>
      <c r="C9" s="37" t="s">
        <v>379</v>
      </c>
      <c r="D9" s="38" t="s">
        <v>380</v>
      </c>
      <c r="E9" s="39" t="s">
        <v>381</v>
      </c>
    </row>
  </sheetData>
  <mergeCells count="2">
    <mergeCell ref="B3:E3"/>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28"/>
  <sheetViews>
    <sheetView topLeftCell="J1" workbookViewId="0">
      <selection activeCell="M6" sqref="M6"/>
    </sheetView>
  </sheetViews>
  <sheetFormatPr defaultColWidth="11.42578125" defaultRowHeight="1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c r="B2" s="10" t="s">
        <v>1</v>
      </c>
      <c r="C2" s="10" t="s">
        <v>1</v>
      </c>
      <c r="D2" s="10" t="s">
        <v>3</v>
      </c>
      <c r="E2" s="10" t="s">
        <v>5</v>
      </c>
      <c r="F2" s="10" t="s">
        <v>6</v>
      </c>
      <c r="G2" s="10" t="s">
        <v>7</v>
      </c>
      <c r="H2" s="10" t="s">
        <v>8</v>
      </c>
      <c r="J2" s="10" t="s">
        <v>5</v>
      </c>
      <c r="K2" s="10" t="s">
        <v>6</v>
      </c>
      <c r="L2" s="10" t="s">
        <v>9</v>
      </c>
      <c r="O2" s="10" t="s">
        <v>10</v>
      </c>
    </row>
    <row r="3" spans="2:16">
      <c r="B3" t="s">
        <v>382</v>
      </c>
      <c r="C3" t="s">
        <v>383</v>
      </c>
      <c r="D3" t="s">
        <v>384</v>
      </c>
      <c r="E3" s="11" t="s">
        <v>18</v>
      </c>
      <c r="F3" s="11" t="s">
        <v>19</v>
      </c>
      <c r="G3" t="s">
        <v>20</v>
      </c>
      <c r="H3" t="s">
        <v>21</v>
      </c>
      <c r="J3" s="11" t="s">
        <v>22</v>
      </c>
      <c r="K3" s="11" t="s">
        <v>19</v>
      </c>
      <c r="L3" t="s">
        <v>23</v>
      </c>
      <c r="M3" t="s">
        <v>24</v>
      </c>
      <c r="O3" t="s">
        <v>385</v>
      </c>
      <c r="P3" t="s">
        <v>25</v>
      </c>
    </row>
    <row r="4" spans="2:16">
      <c r="B4" t="s">
        <v>386</v>
      </c>
      <c r="C4" t="s">
        <v>387</v>
      </c>
      <c r="D4" t="s">
        <v>53</v>
      </c>
      <c r="E4" s="11" t="s">
        <v>32</v>
      </c>
      <c r="F4" s="11" t="s">
        <v>33</v>
      </c>
      <c r="G4" s="11" t="s">
        <v>34</v>
      </c>
      <c r="H4" t="s">
        <v>35</v>
      </c>
      <c r="J4" s="11" t="s">
        <v>32</v>
      </c>
      <c r="K4" s="11" t="s">
        <v>33</v>
      </c>
      <c r="L4" t="s">
        <v>36</v>
      </c>
      <c r="M4" t="s">
        <v>24</v>
      </c>
      <c r="O4" t="s">
        <v>37</v>
      </c>
      <c r="P4" t="s">
        <v>38</v>
      </c>
    </row>
    <row r="5" spans="2:16">
      <c r="B5" t="s">
        <v>388</v>
      </c>
      <c r="C5" t="s">
        <v>389</v>
      </c>
      <c r="D5" t="s">
        <v>71</v>
      </c>
      <c r="E5" s="11" t="s">
        <v>43</v>
      </c>
      <c r="F5" s="11" t="s">
        <v>37</v>
      </c>
      <c r="G5" t="s">
        <v>44</v>
      </c>
      <c r="J5" s="11" t="s">
        <v>45</v>
      </c>
      <c r="K5" s="11" t="s">
        <v>37</v>
      </c>
      <c r="L5" t="s">
        <v>46</v>
      </c>
      <c r="M5" t="s">
        <v>37</v>
      </c>
      <c r="O5" t="s">
        <v>47</v>
      </c>
      <c r="P5" t="s">
        <v>48</v>
      </c>
    </row>
    <row r="6" spans="2:16">
      <c r="B6" t="s">
        <v>390</v>
      </c>
      <c r="C6" t="s">
        <v>390</v>
      </c>
      <c r="D6" t="s">
        <v>63</v>
      </c>
      <c r="E6" s="11" t="s">
        <v>54</v>
      </c>
      <c r="F6" s="11" t="s">
        <v>55</v>
      </c>
      <c r="G6" t="s">
        <v>56</v>
      </c>
      <c r="J6" s="11" t="s">
        <v>54</v>
      </c>
      <c r="K6" s="11" t="s">
        <v>55</v>
      </c>
      <c r="L6" t="s">
        <v>57</v>
      </c>
      <c r="M6" t="s">
        <v>47</v>
      </c>
      <c r="O6" t="s">
        <v>58</v>
      </c>
      <c r="P6" t="s">
        <v>59</v>
      </c>
    </row>
    <row r="7" spans="2:16">
      <c r="B7" t="s">
        <v>391</v>
      </c>
      <c r="C7" t="s">
        <v>392</v>
      </c>
      <c r="D7" t="s">
        <v>16</v>
      </c>
      <c r="E7" s="11" t="s">
        <v>64</v>
      </c>
      <c r="F7" s="11" t="s">
        <v>65</v>
      </c>
      <c r="G7" s="11"/>
      <c r="J7" s="11" t="s">
        <v>64</v>
      </c>
      <c r="K7" s="11" t="s">
        <v>65</v>
      </c>
      <c r="L7" t="s">
        <v>66</v>
      </c>
      <c r="M7" t="s">
        <v>58</v>
      </c>
    </row>
    <row r="8" spans="2:16">
      <c r="B8" t="s">
        <v>392</v>
      </c>
      <c r="C8" t="s">
        <v>391</v>
      </c>
      <c r="D8" t="s">
        <v>42</v>
      </c>
      <c r="L8" t="s">
        <v>72</v>
      </c>
      <c r="M8" t="s">
        <v>24</v>
      </c>
    </row>
    <row r="9" spans="2:16">
      <c r="B9" t="s">
        <v>387</v>
      </c>
      <c r="C9" t="s">
        <v>386</v>
      </c>
      <c r="D9" t="s">
        <v>30</v>
      </c>
      <c r="L9" t="s">
        <v>75</v>
      </c>
      <c r="M9" t="s">
        <v>24</v>
      </c>
    </row>
    <row r="10" spans="2:16">
      <c r="B10" t="s">
        <v>393</v>
      </c>
      <c r="C10" t="s">
        <v>394</v>
      </c>
      <c r="L10" t="s">
        <v>78</v>
      </c>
      <c r="M10" t="s">
        <v>37</v>
      </c>
    </row>
    <row r="11" spans="2:16">
      <c r="B11" t="s">
        <v>383</v>
      </c>
      <c r="C11" t="s">
        <v>95</v>
      </c>
      <c r="L11" t="s">
        <v>81</v>
      </c>
      <c r="M11" t="s">
        <v>47</v>
      </c>
    </row>
    <row r="12" spans="2:16">
      <c r="B12" t="s">
        <v>395</v>
      </c>
      <c r="C12" t="s">
        <v>395</v>
      </c>
      <c r="L12" t="s">
        <v>84</v>
      </c>
      <c r="M12" t="s">
        <v>58</v>
      </c>
    </row>
    <row r="13" spans="2:16">
      <c r="B13" t="s">
        <v>396</v>
      </c>
      <c r="C13" t="s">
        <v>397</v>
      </c>
      <c r="L13" t="s">
        <v>88</v>
      </c>
      <c r="M13" t="s">
        <v>24</v>
      </c>
    </row>
    <row r="14" spans="2:16">
      <c r="B14" t="s">
        <v>389</v>
      </c>
      <c r="C14" t="s">
        <v>101</v>
      </c>
      <c r="L14" t="s">
        <v>91</v>
      </c>
      <c r="M14" t="s">
        <v>37</v>
      </c>
    </row>
    <row r="15" spans="2:16">
      <c r="B15" t="s">
        <v>397</v>
      </c>
      <c r="C15" t="s">
        <v>89</v>
      </c>
      <c r="L15" t="s">
        <v>94</v>
      </c>
      <c r="M15" t="s">
        <v>47</v>
      </c>
    </row>
    <row r="16" spans="2:16">
      <c r="B16" t="s">
        <v>398</v>
      </c>
      <c r="C16" t="s">
        <v>399</v>
      </c>
      <c r="L16" t="s">
        <v>97</v>
      </c>
      <c r="M16" t="s">
        <v>58</v>
      </c>
    </row>
    <row r="17" spans="2:13">
      <c r="B17" t="s">
        <v>101</v>
      </c>
      <c r="C17" t="s">
        <v>400</v>
      </c>
      <c r="L17" t="s">
        <v>100</v>
      </c>
      <c r="M17" t="s">
        <v>58</v>
      </c>
    </row>
    <row r="18" spans="2:13">
      <c r="B18" t="s">
        <v>401</v>
      </c>
      <c r="C18" t="s">
        <v>401</v>
      </c>
      <c r="L18" t="s">
        <v>103</v>
      </c>
      <c r="M18" t="s">
        <v>37</v>
      </c>
    </row>
    <row r="19" spans="2:13">
      <c r="B19" t="s">
        <v>400</v>
      </c>
      <c r="C19" t="s">
        <v>388</v>
      </c>
      <c r="L19" t="s">
        <v>106</v>
      </c>
      <c r="M19" t="s">
        <v>47</v>
      </c>
    </row>
    <row r="20" spans="2:13">
      <c r="B20" t="s">
        <v>95</v>
      </c>
      <c r="C20" t="s">
        <v>398</v>
      </c>
      <c r="L20" t="s">
        <v>109</v>
      </c>
      <c r="M20" t="s">
        <v>47</v>
      </c>
    </row>
    <row r="21" spans="2:13">
      <c r="B21" t="s">
        <v>89</v>
      </c>
      <c r="C21" t="s">
        <v>393</v>
      </c>
      <c r="L21" t="s">
        <v>110</v>
      </c>
      <c r="M21" t="s">
        <v>58</v>
      </c>
    </row>
    <row r="22" spans="2:13">
      <c r="B22" t="s">
        <v>399</v>
      </c>
      <c r="C22" t="s">
        <v>396</v>
      </c>
      <c r="L22" t="s">
        <v>111</v>
      </c>
      <c r="M22" t="s">
        <v>58</v>
      </c>
    </row>
    <row r="23" spans="2:13">
      <c r="B23" t="s">
        <v>394</v>
      </c>
      <c r="C23" t="s">
        <v>382</v>
      </c>
      <c r="L23" t="s">
        <v>112</v>
      </c>
      <c r="M23" t="s">
        <v>47</v>
      </c>
    </row>
    <row r="24" spans="2:13">
      <c r="L24" t="s">
        <v>113</v>
      </c>
      <c r="M24" t="s">
        <v>47</v>
      </c>
    </row>
    <row r="25" spans="2:13">
      <c r="B25" s="10" t="s">
        <v>114</v>
      </c>
      <c r="D25" s="10" t="s">
        <v>116</v>
      </c>
      <c r="F25" s="10" t="s">
        <v>117</v>
      </c>
      <c r="L25" t="s">
        <v>118</v>
      </c>
      <c r="M25" t="s">
        <v>58</v>
      </c>
    </row>
    <row r="26" spans="2:13">
      <c r="B26" t="s">
        <v>119</v>
      </c>
      <c r="D26" t="s">
        <v>26</v>
      </c>
      <c r="F26" t="s">
        <v>21</v>
      </c>
      <c r="L26" t="s">
        <v>122</v>
      </c>
      <c r="M26" t="s">
        <v>58</v>
      </c>
    </row>
    <row r="27" spans="2:13">
      <c r="B27" t="s">
        <v>123</v>
      </c>
      <c r="D27" t="s">
        <v>37</v>
      </c>
      <c r="F27" t="s">
        <v>126</v>
      </c>
      <c r="L27" t="s">
        <v>127</v>
      </c>
      <c r="M27" t="s">
        <v>58</v>
      </c>
    </row>
    <row r="28" spans="2:13">
      <c r="D28" t="s">
        <v>49</v>
      </c>
    </row>
  </sheetData>
  <customSheetViews>
    <customSheetView guid="{F8FDF2EC-A9AD-41AC-8138-AA3657B53E6D}"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82BC0C9B-70E2-44EC-8408-64CC9B36E280}"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95"/>
  <sheetViews>
    <sheetView showGridLines="0" tabSelected="1" topLeftCell="BC92" zoomScale="70" zoomScaleNormal="70" zoomScaleSheetLayoutView="50" workbookViewId="0">
      <selection activeCell="B6" sqref="B6"/>
    </sheetView>
  </sheetViews>
  <sheetFormatPr defaultColWidth="11.42578125" defaultRowHeight="15"/>
  <cols>
    <col min="1" max="1" width="4.85546875" style="16" customWidth="1"/>
    <col min="2" max="2" width="33.5703125" style="15" customWidth="1"/>
    <col min="3" max="3" width="47" style="15" customWidth="1"/>
    <col min="4" max="4" width="33.85546875" style="17" customWidth="1"/>
    <col min="5" max="7" width="28.85546875" style="17" customWidth="1"/>
    <col min="8" max="10" width="25.5703125" style="17" customWidth="1"/>
    <col min="11" max="11" width="27.28515625" style="17" customWidth="1"/>
    <col min="12" max="12" width="27.7109375" style="15" customWidth="1"/>
    <col min="13" max="13" width="10.85546875" style="18" customWidth="1"/>
    <col min="14" max="14" width="10.42578125" style="18" customWidth="1"/>
    <col min="15" max="15" width="12.42578125" style="18" customWidth="1"/>
    <col min="16" max="16" width="10.42578125" style="18" customWidth="1"/>
    <col min="17" max="17" width="10.140625" style="18" customWidth="1"/>
    <col min="18" max="18" width="17.140625" style="15" customWidth="1"/>
    <col min="19" max="19" width="36.28515625" style="18" customWidth="1"/>
    <col min="20" max="20" width="36" style="18" customWidth="1"/>
    <col min="21" max="22" width="52.7109375" style="15" customWidth="1"/>
    <col min="23" max="23" width="16.42578125" style="15" customWidth="1"/>
    <col min="24" max="25" width="20" style="15" customWidth="1"/>
    <col min="26" max="27" width="22.85546875" style="15" customWidth="1"/>
    <col min="28" max="28" width="28.140625" style="15" bestFit="1" customWidth="1"/>
    <col min="29" max="29" width="28.140625" style="15" customWidth="1"/>
    <col min="30" max="30" width="34.7109375" style="15" bestFit="1" customWidth="1"/>
    <col min="31" max="31" width="34.7109375" style="15" customWidth="1"/>
    <col min="32" max="32" width="24.140625" style="15" bestFit="1" customWidth="1"/>
    <col min="33" max="33" width="24.140625" style="15" customWidth="1"/>
    <col min="34" max="34" width="27.85546875" style="15" bestFit="1" customWidth="1"/>
    <col min="35" max="35" width="27.85546875" style="15" customWidth="1"/>
    <col min="36" max="36" width="23.85546875" style="15" bestFit="1" customWidth="1"/>
    <col min="37" max="37" width="23.85546875" style="15" customWidth="1"/>
    <col min="38" max="38" width="15.85546875" style="15" customWidth="1"/>
    <col min="39" max="39" width="18.5703125" style="15" customWidth="1"/>
    <col min="40" max="40" width="20.5703125" style="15" customWidth="1"/>
    <col min="41" max="41" width="9.85546875" style="15" customWidth="1"/>
    <col min="42" max="42" width="20.5703125" style="15" customWidth="1"/>
    <col min="43" max="43" width="5.42578125" style="15" customWidth="1"/>
    <col min="44" max="44" width="20.5703125" style="15" customWidth="1"/>
    <col min="45" max="45" width="9.85546875" style="15" customWidth="1"/>
    <col min="46" max="46" width="20.5703125" style="15" customWidth="1"/>
    <col min="47" max="47" width="4.42578125" style="15" customWidth="1"/>
    <col min="48" max="48" width="4.7109375" style="15" customWidth="1"/>
    <col min="49" max="50" width="20.5703125" style="15" customWidth="1"/>
    <col min="51" max="53" width="15.5703125" style="15" customWidth="1"/>
    <col min="54" max="54" width="18.85546875" style="15" customWidth="1"/>
    <col min="55" max="58" width="15.5703125" style="15" customWidth="1"/>
    <col min="59" max="59" width="22.28515625" style="18" customWidth="1"/>
    <col min="60" max="60" width="13.5703125" style="18" customWidth="1"/>
    <col min="61" max="61" width="19.42578125" style="15" customWidth="1"/>
    <col min="62" max="62" width="30.140625" customWidth="1"/>
    <col min="65" max="65" width="17.42578125" customWidth="1"/>
  </cols>
  <sheetData>
    <row r="1" spans="1:16382" s="14" customFormat="1" ht="45.75" customHeight="1">
      <c r="A1" s="448" t="s">
        <v>402</v>
      </c>
      <c r="B1" s="448"/>
      <c r="C1" s="448"/>
      <c r="D1" s="448"/>
      <c r="E1" s="448"/>
      <c r="F1" s="448"/>
      <c r="G1" s="448"/>
      <c r="H1" s="449" t="s">
        <v>403</v>
      </c>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4"/>
      <c r="BK1" s="444"/>
      <c r="BL1" s="444"/>
      <c r="BM1" s="444"/>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row>
    <row r="2" spans="1:16382" s="14" customFormat="1" ht="13.5" customHeight="1">
      <c r="A2" s="448"/>
      <c r="B2" s="448"/>
      <c r="C2" s="448"/>
      <c r="D2" s="448"/>
      <c r="E2" s="448"/>
      <c r="F2" s="448"/>
      <c r="G2" s="448"/>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4"/>
      <c r="BK2" s="444"/>
      <c r="BL2" s="444"/>
      <c r="BM2" s="444"/>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row>
    <row r="3" spans="1:16382" s="20" customFormat="1" ht="33" customHeight="1" thickBot="1">
      <c r="A3" s="398"/>
      <c r="B3" s="398"/>
      <c r="C3" s="398"/>
      <c r="D3" s="398"/>
      <c r="E3" s="398"/>
      <c r="F3" s="398"/>
      <c r="G3" s="398"/>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213"/>
      <c r="BK3" s="213"/>
      <c r="BL3" s="213"/>
      <c r="BM3" s="21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row>
    <row r="4" spans="1:16382" ht="29.25" customHeight="1">
      <c r="A4" s="399" t="s">
        <v>404</v>
      </c>
      <c r="B4" s="400"/>
      <c r="C4" s="400"/>
      <c r="D4" s="400"/>
      <c r="E4" s="400"/>
      <c r="F4" s="400"/>
      <c r="G4" s="400"/>
      <c r="H4" s="400"/>
      <c r="I4" s="400"/>
      <c r="J4" s="400"/>
      <c r="K4" s="400"/>
      <c r="L4" s="401"/>
      <c r="M4" s="405"/>
      <c r="N4" s="400"/>
      <c r="O4" s="400"/>
      <c r="P4" s="400"/>
      <c r="Q4" s="400"/>
      <c r="R4" s="408" t="s">
        <v>405</v>
      </c>
      <c r="S4" s="47"/>
      <c r="T4" s="47"/>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394" t="s">
        <v>406</v>
      </c>
      <c r="BK4" s="394"/>
      <c r="BL4" s="394"/>
      <c r="BM4" s="395"/>
    </row>
    <row r="5" spans="1:16382" ht="40.5" customHeight="1" thickBot="1">
      <c r="A5" s="402"/>
      <c r="B5" s="403"/>
      <c r="C5" s="403"/>
      <c r="D5" s="403"/>
      <c r="E5" s="403"/>
      <c r="F5" s="403"/>
      <c r="G5" s="403"/>
      <c r="H5" s="403"/>
      <c r="I5" s="403"/>
      <c r="J5" s="403"/>
      <c r="K5" s="403"/>
      <c r="L5" s="404"/>
      <c r="M5" s="406" t="s">
        <v>407</v>
      </c>
      <c r="N5" s="407"/>
      <c r="O5" s="407"/>
      <c r="P5" s="407"/>
      <c r="Q5" s="407"/>
      <c r="R5" s="407"/>
      <c r="S5" s="273"/>
      <c r="T5" s="273"/>
      <c r="U5" s="403" t="s">
        <v>408</v>
      </c>
      <c r="V5" s="403"/>
      <c r="W5" s="403"/>
      <c r="X5" s="403" t="s">
        <v>409</v>
      </c>
      <c r="Y5" s="403"/>
      <c r="Z5" s="403"/>
      <c r="AA5" s="403"/>
      <c r="AB5" s="403"/>
      <c r="AC5" s="403"/>
      <c r="AD5" s="403"/>
      <c r="AE5" s="403"/>
      <c r="AF5" s="403"/>
      <c r="AG5" s="403"/>
      <c r="AH5" s="403"/>
      <c r="AI5" s="403"/>
      <c r="AJ5" s="403"/>
      <c r="AK5" s="403"/>
      <c r="AL5" s="403"/>
      <c r="AM5" s="403"/>
      <c r="AN5" s="407" t="s">
        <v>116</v>
      </c>
      <c r="AO5" s="407"/>
      <c r="AP5" s="407"/>
      <c r="AQ5" s="407"/>
      <c r="AR5" s="407"/>
      <c r="AS5" s="407"/>
      <c r="AT5" s="407"/>
      <c r="AU5" s="407"/>
      <c r="AV5" s="407"/>
      <c r="AW5" s="407"/>
      <c r="AX5" s="273"/>
      <c r="AY5" s="407" t="s">
        <v>410</v>
      </c>
      <c r="AZ5" s="407"/>
      <c r="BA5" s="407" t="s">
        <v>411</v>
      </c>
      <c r="BB5" s="407"/>
      <c r="BC5" s="273"/>
      <c r="BD5" s="273"/>
      <c r="BE5" s="273"/>
      <c r="BF5" s="273"/>
      <c r="BG5" s="407" t="s">
        <v>412</v>
      </c>
      <c r="BH5" s="407"/>
      <c r="BI5" s="407"/>
      <c r="BJ5" s="396"/>
      <c r="BK5" s="396"/>
      <c r="BL5" s="396"/>
      <c r="BM5" s="397"/>
    </row>
    <row r="6" spans="1:16382" ht="108" customHeight="1" thickBot="1">
      <c r="A6" s="52" t="s">
        <v>413</v>
      </c>
      <c r="B6" s="53" t="s">
        <v>414</v>
      </c>
      <c r="C6" s="53" t="s">
        <v>415</v>
      </c>
      <c r="D6" s="53" t="s">
        <v>416</v>
      </c>
      <c r="E6" s="53" t="s">
        <v>417</v>
      </c>
      <c r="F6" s="53" t="s">
        <v>418</v>
      </c>
      <c r="G6" s="53" t="s">
        <v>419</v>
      </c>
      <c r="H6" s="53" t="s">
        <v>420</v>
      </c>
      <c r="I6" s="53" t="s">
        <v>421</v>
      </c>
      <c r="J6" s="53" t="s">
        <v>422</v>
      </c>
      <c r="K6" s="53" t="s">
        <v>423</v>
      </c>
      <c r="L6" s="53" t="s">
        <v>212</v>
      </c>
      <c r="M6" s="54" t="s">
        <v>424</v>
      </c>
      <c r="N6" s="54"/>
      <c r="O6" s="54" t="s">
        <v>425</v>
      </c>
      <c r="P6" s="54"/>
      <c r="Q6" s="54" t="s">
        <v>426</v>
      </c>
      <c r="R6" s="53" t="s">
        <v>427</v>
      </c>
      <c r="S6" s="53" t="s">
        <v>428</v>
      </c>
      <c r="T6" s="53" t="s">
        <v>408</v>
      </c>
      <c r="U6" s="53" t="s">
        <v>429</v>
      </c>
      <c r="V6" s="53" t="s">
        <v>430</v>
      </c>
      <c r="W6" s="53" t="s">
        <v>431</v>
      </c>
      <c r="X6" s="53" t="s">
        <v>432</v>
      </c>
      <c r="Y6" s="53"/>
      <c r="Z6" s="53" t="s">
        <v>433</v>
      </c>
      <c r="AA6" s="53"/>
      <c r="AB6" s="53" t="s">
        <v>434</v>
      </c>
      <c r="AC6" s="53"/>
      <c r="AD6" s="53" t="s">
        <v>435</v>
      </c>
      <c r="AE6" s="53"/>
      <c r="AF6" s="53" t="s">
        <v>436</v>
      </c>
      <c r="AG6" s="53"/>
      <c r="AH6" s="53" t="s">
        <v>437</v>
      </c>
      <c r="AI6" s="53"/>
      <c r="AJ6" s="53" t="s">
        <v>438</v>
      </c>
      <c r="AK6" s="53"/>
      <c r="AL6" s="53" t="s">
        <v>439</v>
      </c>
      <c r="AM6" s="53" t="s">
        <v>440</v>
      </c>
      <c r="AN6" s="53" t="s">
        <v>441</v>
      </c>
      <c r="AO6" s="53"/>
      <c r="AP6" s="53" t="s">
        <v>442</v>
      </c>
      <c r="AQ6" s="53"/>
      <c r="AR6" s="53" t="s">
        <v>443</v>
      </c>
      <c r="AS6" s="53"/>
      <c r="AT6" s="53" t="s">
        <v>444</v>
      </c>
      <c r="AU6" s="53"/>
      <c r="AV6" s="53"/>
      <c r="AW6" s="53" t="s">
        <v>445</v>
      </c>
      <c r="AX6" s="53" t="s">
        <v>446</v>
      </c>
      <c r="AY6" s="53" t="s">
        <v>447</v>
      </c>
      <c r="AZ6" s="53" t="s">
        <v>448</v>
      </c>
      <c r="BA6" s="53" t="s">
        <v>449</v>
      </c>
      <c r="BB6" s="53" t="s">
        <v>450</v>
      </c>
      <c r="BC6" s="53" t="s">
        <v>451</v>
      </c>
      <c r="BD6" s="53" t="s">
        <v>452</v>
      </c>
      <c r="BE6" s="53"/>
      <c r="BF6" s="53"/>
      <c r="BG6" s="53" t="s">
        <v>424</v>
      </c>
      <c r="BH6" s="53" t="s">
        <v>425</v>
      </c>
      <c r="BI6" s="53" t="s">
        <v>426</v>
      </c>
      <c r="BJ6" s="53" t="s">
        <v>453</v>
      </c>
      <c r="BK6" s="53" t="s">
        <v>454</v>
      </c>
      <c r="BL6" s="53" t="s">
        <v>455</v>
      </c>
      <c r="BM6" s="55" t="s">
        <v>456</v>
      </c>
    </row>
    <row r="7" spans="1:16382" ht="121.5" customHeight="1">
      <c r="A7" s="319">
        <v>1</v>
      </c>
      <c r="B7" s="313" t="s">
        <v>28</v>
      </c>
      <c r="C7" s="307" t="str">
        <f>IFERROR(VLOOKUP(B7,Listados!B$3:C$20,2,FALSE),"")</f>
        <v>Proveer información oportuna, confiable, veraz y accesible a clientes internos y externos del Ministerio de Justicia y del Derecho.</v>
      </c>
      <c r="D7" s="107" t="s">
        <v>457</v>
      </c>
      <c r="E7" s="107" t="s">
        <v>182</v>
      </c>
      <c r="F7" s="311" t="s">
        <v>182</v>
      </c>
      <c r="G7" s="311" t="s">
        <v>199</v>
      </c>
      <c r="H7" s="108" t="s">
        <v>188</v>
      </c>
      <c r="I7" s="108" t="s">
        <v>203</v>
      </c>
      <c r="J7" s="108" t="s">
        <v>211</v>
      </c>
      <c r="K7" s="109" t="s">
        <v>17</v>
      </c>
      <c r="L7" s="109" t="s">
        <v>214</v>
      </c>
      <c r="M7" s="313" t="s">
        <v>45</v>
      </c>
      <c r="N7" s="315">
        <f>+VLOOKUP(M7,Listados!$K$8:$L$12,2,0)</f>
        <v>3</v>
      </c>
      <c r="O7" s="317" t="s">
        <v>19</v>
      </c>
      <c r="P7" s="315">
        <f>+VLOOKUP(O7,Listados!$K$13:$L$17,2,0)</f>
        <v>1</v>
      </c>
      <c r="Q7" s="297" t="str">
        <f>IF(AND(M7&lt;&gt;"",O7&lt;&gt;""),VLOOKUP(M7&amp;O7,Listados!$M$3:$N$27,2,FALSE),"")</f>
        <v>Bajo</v>
      </c>
      <c r="R7" s="297" t="str">
        <f>+VLOOKUP(Q7,Listados!$P$3:$Q$6,2,FALSE)</f>
        <v>Asumir el riesgo</v>
      </c>
      <c r="S7" s="110" t="s">
        <v>220</v>
      </c>
      <c r="T7" s="110" t="s">
        <v>248</v>
      </c>
      <c r="U7" s="111" t="s">
        <v>458</v>
      </c>
      <c r="V7" s="111" t="s">
        <v>211</v>
      </c>
      <c r="W7" s="112" t="s">
        <v>21</v>
      </c>
      <c r="X7" s="110" t="s">
        <v>119</v>
      </c>
      <c r="Y7" s="110"/>
      <c r="Z7" s="110" t="s">
        <v>119</v>
      </c>
      <c r="AA7" s="110"/>
      <c r="AB7" s="110" t="s">
        <v>119</v>
      </c>
      <c r="AC7" s="110"/>
      <c r="AD7" s="110" t="s">
        <v>123</v>
      </c>
      <c r="AE7" s="110"/>
      <c r="AF7" s="110" t="s">
        <v>119</v>
      </c>
      <c r="AG7" s="110"/>
      <c r="AH7" s="110" t="s">
        <v>119</v>
      </c>
      <c r="AI7" s="110"/>
      <c r="AJ7" s="110" t="s">
        <v>120</v>
      </c>
      <c r="AK7" s="113">
        <f>+IF(AJ7="Completa",10,IF(AJ7="Incompleta",5,""))</f>
        <v>10</v>
      </c>
      <c r="AL7" s="114">
        <f>IF((SUM(Y7,AA7,AC7,AE7,AG7,AI7,AK7)=0),"",(SUM(Y7,AA7,AC7,AE7,AG7,AI7,AK7)))</f>
        <v>10</v>
      </c>
      <c r="AM7" s="114" t="str">
        <f>IF(AL7&lt;=85,"Débil",IF(AL7&lt;=95,"Moderado",IF(AL7=100,"Fuerte","")))</f>
        <v>Débil</v>
      </c>
      <c r="AN7" s="115" t="s">
        <v>357</v>
      </c>
      <c r="AO7" s="116">
        <f>IFERROR(VLOOKUP(AN7,'Seguridad Información'!$C$61:$D$63,2,0),"")</f>
        <v>20</v>
      </c>
      <c r="AP7" s="115" t="s">
        <v>350</v>
      </c>
      <c r="AQ7" s="115">
        <f>IFERROR(VLOOKUP(AP7,'Seguridad Información'!$E$61:$F$64,2,0),"")</f>
        <v>100</v>
      </c>
      <c r="AR7" s="115" t="s">
        <v>355</v>
      </c>
      <c r="AS7" s="115">
        <f>IFERROR(VLOOKUP(AR7,'Seguridad Información'!$G$61:$H$64,2,0),"")</f>
        <v>60</v>
      </c>
      <c r="AT7" s="115" t="s">
        <v>352</v>
      </c>
      <c r="AU7" s="117">
        <f>IFERROR(VLOOKUP(AT7,'Seguridad Información'!$I$61:$J$65,2,0),"")</f>
        <v>100</v>
      </c>
      <c r="AV7" s="117"/>
      <c r="AW7" s="118">
        <f>IFERROR(AVERAGE(AO7,AQ7,AS7,AU7),"")</f>
        <v>70</v>
      </c>
      <c r="AX7" s="114" t="str">
        <f>IF(AW7&lt;=80,"Débil",IF(AW7&lt;=90,"Moderado",IF(AW7=100,"Fuerte","")))</f>
        <v>Débil</v>
      </c>
      <c r="AY7" s="118" t="str">
        <f>IFERROR(VLOOKUP((CONCATENATE(AM7,AX7)),Listados!$U$3:$V$11,2,FALSE),"")</f>
        <v>Débil</v>
      </c>
      <c r="AZ7" s="114">
        <f>IF(ISBLANK(AY7),"",IF(AY7="Débil", 0, IF(AY7="Moderado",50,100)))</f>
        <v>0</v>
      </c>
      <c r="BA7" s="323">
        <f>AVERAGE(AZ7:AZ8)</f>
        <v>0</v>
      </c>
      <c r="BB7" s="323" t="str">
        <f>IF(BA7&lt;=50, "Débil", IF(BA7&lt;=99,"Moderado","Fuerte"))</f>
        <v>Débil</v>
      </c>
      <c r="BC7" s="119">
        <f>+IF(AND(W7="Preventivo",BB7="Fuerte"),2,IF(AND(W7="Preventivo",BB7="Moderado"),1,0))</f>
        <v>0</v>
      </c>
      <c r="BD7" s="119">
        <f>+IF(AND(W7="Detectivo/Correctivo",$BB7="Fuerte"),2,IF(AND(W7="Detectivo/Correctivo",$BB7="Moderado"),1,IF(AND(W7="Preventivo",$BB7="Fuerte"),1,0)))</f>
        <v>0</v>
      </c>
      <c r="BE7" s="119">
        <f>+N7-BC7</f>
        <v>3</v>
      </c>
      <c r="BF7" s="119">
        <f>+P7-BD7</f>
        <v>1</v>
      </c>
      <c r="BG7" s="297" t="str">
        <f>+VLOOKUP(MIN(BE7,BE8),Listados!$J$18:$K$24,2,TRUE)</f>
        <v>Posible</v>
      </c>
      <c r="BH7" s="297" t="str">
        <f>+VLOOKUP(MIN(BF7,BF8),Listados!$J$26:$K$32,2,TRUE)</f>
        <v>Insignificante</v>
      </c>
      <c r="BI7" s="297" t="str">
        <f>IF(AND(BG7&lt;&gt;"",BH7&lt;&gt;""),VLOOKUP(BG7&amp;BH7,Listados!$M$3:$N$27,2,FALSE),"")</f>
        <v>Bajo</v>
      </c>
      <c r="BJ7" s="298" t="str">
        <f>+IF($R7="Asumir el riesgo","NA","")</f>
        <v>NA</v>
      </c>
      <c r="BK7" s="298" t="str">
        <f>+IF($R7="Asumir el riesgo","NA","")</f>
        <v>NA</v>
      </c>
      <c r="BL7" s="298" t="str">
        <f>+IF($R7="Asumir el riesgo","NA","")</f>
        <v>NA</v>
      </c>
      <c r="BM7" s="305" t="str">
        <f>+IF($R7="Asumir el riesgo","NA","")</f>
        <v>NA</v>
      </c>
    </row>
    <row r="8" spans="1:16382" ht="105" customHeight="1" thickBot="1">
      <c r="A8" s="355"/>
      <c r="B8" s="314"/>
      <c r="C8" s="308"/>
      <c r="D8" s="120" t="s">
        <v>457</v>
      </c>
      <c r="E8" s="120" t="s">
        <v>182</v>
      </c>
      <c r="F8" s="312"/>
      <c r="G8" s="312"/>
      <c r="H8" s="121" t="s">
        <v>191</v>
      </c>
      <c r="I8" s="122" t="s">
        <v>201</v>
      </c>
      <c r="J8" s="121" t="s">
        <v>204</v>
      </c>
      <c r="K8" s="123" t="s">
        <v>17</v>
      </c>
      <c r="L8" s="124" t="s">
        <v>214</v>
      </c>
      <c r="M8" s="314"/>
      <c r="N8" s="316"/>
      <c r="O8" s="318"/>
      <c r="P8" s="316"/>
      <c r="Q8" s="302"/>
      <c r="R8" s="302"/>
      <c r="S8" s="125" t="s">
        <v>220</v>
      </c>
      <c r="T8" s="125" t="s">
        <v>273</v>
      </c>
      <c r="U8" s="126" t="s">
        <v>459</v>
      </c>
      <c r="V8" s="126" t="s">
        <v>204</v>
      </c>
      <c r="W8" s="127" t="s">
        <v>21</v>
      </c>
      <c r="X8" s="125" t="s">
        <v>119</v>
      </c>
      <c r="Y8" s="125"/>
      <c r="Z8" s="125" t="s">
        <v>119</v>
      </c>
      <c r="AA8" s="125"/>
      <c r="AB8" s="125" t="s">
        <v>119</v>
      </c>
      <c r="AC8" s="125"/>
      <c r="AD8" s="125" t="s">
        <v>123</v>
      </c>
      <c r="AE8" s="125"/>
      <c r="AF8" s="125" t="s">
        <v>119</v>
      </c>
      <c r="AG8" s="125"/>
      <c r="AH8" s="125" t="s">
        <v>119</v>
      </c>
      <c r="AI8" s="125"/>
      <c r="AJ8" s="125" t="s">
        <v>120</v>
      </c>
      <c r="AK8" s="128">
        <f t="shared" ref="AK8:AK11" si="0">+IF(AJ8="Completa",10,IF(AJ8="Incompleta",5,""))</f>
        <v>10</v>
      </c>
      <c r="AL8" s="129">
        <f>IF((SUM(Y8,AA8,AC8,AE8,AG8,AI8,AK8)=0),"",(SUM(Y8,AA8,AC8,AE8,AG8,AI8,AK8)))</f>
        <v>10</v>
      </c>
      <c r="AM8" s="129" t="str">
        <f>IF(AL8&lt;=85,"Débil",IF(AL8&lt;=95,"Moderado",IF(AL8=100,"Fuerte","")))</f>
        <v>Débil</v>
      </c>
      <c r="AN8" s="130" t="s">
        <v>357</v>
      </c>
      <c r="AO8" s="131">
        <f>IFERROR(VLOOKUP(AN8,'Seguridad Información'!$C$61:$D$63,2,0),"")</f>
        <v>20</v>
      </c>
      <c r="AP8" s="130" t="s">
        <v>350</v>
      </c>
      <c r="AQ8" s="132">
        <f>IFERROR(VLOOKUP(AP8,'Seguridad Información'!$E$61:$F$64,2,0),"")</f>
        <v>100</v>
      </c>
      <c r="AR8" s="130" t="s">
        <v>351</v>
      </c>
      <c r="AS8" s="132">
        <f>IFERROR(VLOOKUP(AR8,'Seguridad Información'!$G$61:$H$64,2,0),"")</f>
        <v>100</v>
      </c>
      <c r="AT8" s="130" t="s">
        <v>352</v>
      </c>
      <c r="AU8" s="133">
        <f>IFERROR(VLOOKUP(AT8,'Seguridad Información'!$I$61:$J$65,2,0),"")</f>
        <v>100</v>
      </c>
      <c r="AV8" s="133"/>
      <c r="AW8" s="134">
        <f t="shared" ref="AW8" si="1">IFERROR(AVERAGE(AO8,AQ8,AS8,AU8),"")</f>
        <v>80</v>
      </c>
      <c r="AX8" s="129" t="str">
        <f t="shared" ref="AX8:AX11" si="2">IF(AW8&lt;=80,"Débil",IF(AW8&lt;=90,"Moderado",IF(AW8=100,"Fuerte","")))</f>
        <v>Débil</v>
      </c>
      <c r="AY8" s="134" t="str">
        <f>IFERROR(VLOOKUP((CONCATENATE(AM8,AX8)),Listados!$U$3:$V$11,2,FALSE),"")</f>
        <v>Débil</v>
      </c>
      <c r="AZ8" s="129">
        <f>IF(ISBLANK(AY8),"",IF(AY8="Débil", 0, IF(AY8="Moderado",50,100)))</f>
        <v>0</v>
      </c>
      <c r="BA8" s="324"/>
      <c r="BB8" s="324"/>
      <c r="BC8" s="135">
        <f>+IF(AND(W8="Preventivo",BB7="Fuerte"),2,IF(AND(W8="Preventivo",BB7="Moderado"),1,0))</f>
        <v>0</v>
      </c>
      <c r="BD8" s="135">
        <f>+IF(AND(W8="Detectivo/Correctivo",$BB7="Fuerte"),2,IF(AND(W8="Detectivo/Correctivo",$BB8="Moderado"),1,IF(AND(W8="Preventivo",$BB7="Fuerte"),1,0)))</f>
        <v>0</v>
      </c>
      <c r="BE8" s="135">
        <f>+N7-BC8</f>
        <v>3</v>
      </c>
      <c r="BF8" s="135">
        <f>+P7-BD8</f>
        <v>1</v>
      </c>
      <c r="BG8" s="302"/>
      <c r="BH8" s="302"/>
      <c r="BI8" s="302"/>
      <c r="BJ8" s="303"/>
      <c r="BK8" s="303"/>
      <c r="BL8" s="303"/>
      <c r="BM8" s="306"/>
    </row>
    <row r="9" spans="1:16382" ht="114.75">
      <c r="A9" s="319">
        <v>2</v>
      </c>
      <c r="B9" s="384" t="s">
        <v>69</v>
      </c>
      <c r="C9" s="388" t="str">
        <f>IFERROR(VLOOKUP(B9,[4]Listados!B$3:C$20,2,FALSE),"")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9" s="390" t="s">
        <v>460</v>
      </c>
      <c r="E9" s="107" t="s">
        <v>180</v>
      </c>
      <c r="F9" s="311" t="s">
        <v>181</v>
      </c>
      <c r="G9" s="311" t="s">
        <v>198</v>
      </c>
      <c r="H9" s="136" t="s">
        <v>186</v>
      </c>
      <c r="I9" s="137" t="s">
        <v>201</v>
      </c>
      <c r="J9" s="136" t="s">
        <v>204</v>
      </c>
      <c r="K9" s="138" t="s">
        <v>17</v>
      </c>
      <c r="L9" s="138" t="s">
        <v>214</v>
      </c>
      <c r="M9" s="313" t="s">
        <v>22</v>
      </c>
      <c r="N9" s="315">
        <f>+VLOOKUP(M9,[4]Listados!$K$8:$L$12,2,0)</f>
        <v>1</v>
      </c>
      <c r="O9" s="317" t="s">
        <v>37</v>
      </c>
      <c r="P9" s="315">
        <f>+VLOOKUP(O9,[4]Listados!$K$13:$L$17,2,0)</f>
        <v>3</v>
      </c>
      <c r="Q9" s="382" t="s">
        <v>22</v>
      </c>
      <c r="R9" s="297" t="e">
        <f>+VLOOKUP(Q9,[4]Listados!$P$3:$Q$6,2,FALSE)</f>
        <v>#N/A</v>
      </c>
      <c r="S9" s="110" t="s">
        <v>221</v>
      </c>
      <c r="T9" s="110" t="s">
        <v>297</v>
      </c>
      <c r="U9" s="111" t="s">
        <v>461</v>
      </c>
      <c r="V9" s="111" t="s">
        <v>204</v>
      </c>
      <c r="W9" s="110" t="s">
        <v>21</v>
      </c>
      <c r="X9" s="110" t="s">
        <v>119</v>
      </c>
      <c r="Y9" s="110">
        <f t="shared" ref="Y9:Y72" si="3">+IF(X9="si",15,"")</f>
        <v>15</v>
      </c>
      <c r="Z9" s="110" t="s">
        <v>119</v>
      </c>
      <c r="AA9" s="110">
        <f t="shared" ref="AA9:AA72" si="4">+IF(Z9="si",15,"")</f>
        <v>15</v>
      </c>
      <c r="AB9" s="110" t="s">
        <v>119</v>
      </c>
      <c r="AC9" s="110">
        <f t="shared" ref="AC9:AC72" si="5">+IF(AB9="si",15,"")</f>
        <v>15</v>
      </c>
      <c r="AD9" s="110" t="s">
        <v>119</v>
      </c>
      <c r="AE9" s="110">
        <f t="shared" ref="AE9:AE72" si="6">+IF(AD9="si",15,"")</f>
        <v>15</v>
      </c>
      <c r="AF9" s="110" t="s">
        <v>119</v>
      </c>
      <c r="AG9" s="110">
        <f t="shared" ref="AG9:AG72" si="7">+IF(AF9="si",15,"")</f>
        <v>15</v>
      </c>
      <c r="AH9" s="110" t="s">
        <v>119</v>
      </c>
      <c r="AI9" s="110">
        <f t="shared" ref="AI9:AI72" si="8">+IF(AH9="si",15,"")</f>
        <v>15</v>
      </c>
      <c r="AJ9" s="110" t="s">
        <v>120</v>
      </c>
      <c r="AK9" s="113">
        <f t="shared" si="0"/>
        <v>10</v>
      </c>
      <c r="AL9" s="114">
        <f t="shared" ref="AL9:AL11" si="9">IF((SUM(Y9,AA9,AC9,AE9,AG9,AI9,AK9)=0),"",(SUM(Y9,AA9,AC9,AE9,AG9,AI9,AK9)))</f>
        <v>100</v>
      </c>
      <c r="AM9" s="114" t="str">
        <f t="shared" ref="AM9:AM11" si="10">IF(AL9&lt;=85,"Débil",IF(AL9&lt;=95,"Moderado",IF(AL9=100,"Fuerte","")))</f>
        <v>Fuerte</v>
      </c>
      <c r="AN9" s="139" t="s">
        <v>357</v>
      </c>
      <c r="AO9" s="139">
        <f>IFERROR(VLOOKUP(AN9,'[4]Seguridad Información'!$C$61:$D$63,2,0),"")</f>
        <v>20</v>
      </c>
      <c r="AP9" s="139" t="s">
        <v>350</v>
      </c>
      <c r="AQ9" s="140">
        <f>IFERROR(VLOOKUP(AP9,'[4]Seguridad Información'!$E$61:$F$64,2,0),"")</f>
        <v>100</v>
      </c>
      <c r="AR9" s="141" t="s">
        <v>351</v>
      </c>
      <c r="AS9" s="141">
        <f>IFERROR(VLOOKUP(AR9,'[4]Seguridad Información'!$G$61:$H$64,2,0),"")</f>
        <v>100</v>
      </c>
      <c r="AT9" s="141" t="s">
        <v>352</v>
      </c>
      <c r="AU9" s="117">
        <f>IFERROR(VLOOKUP(AT9,'[4]Seguridad Información'!$I$61:$J$65,2,0),"")</f>
        <v>100</v>
      </c>
      <c r="AV9" s="117">
        <f>IFERROR(VLOOKUP(AT9,'[4]Seguridad Información'!$I$61:$J$65,2,0),"")</f>
        <v>100</v>
      </c>
      <c r="AW9" s="142">
        <f>IFERROR(AVERAGE(AO9,AQ9,AS9,AU9),"")</f>
        <v>80</v>
      </c>
      <c r="AX9" s="142" t="str">
        <f t="shared" si="2"/>
        <v>Débil</v>
      </c>
      <c r="AY9" s="142" t="str">
        <f>IFERROR(VLOOKUP((CONCATENATE(AM9,AX9)),[4]Listados!$U$3:$V$11,2,FALSE),"")</f>
        <v>Débil</v>
      </c>
      <c r="AZ9" s="142">
        <f t="shared" ref="AZ9:AZ11" si="11">IF(ISBLANK(AY9),"",IF(AY9="Débil", 0, IF(AY9="Moderado",50,100)))</f>
        <v>0</v>
      </c>
      <c r="BA9" s="386">
        <f>AVERAGE(AZ9:AZ11)</f>
        <v>0</v>
      </c>
      <c r="BB9" s="386" t="str">
        <f>IF(BA9&lt;=50, "Débil", IF(BA9&lt;=99,"Moderado","Fuerte"))</f>
        <v>Débil</v>
      </c>
      <c r="BC9" s="142">
        <f>+IF(AND(W9="Preventivo",BB9="Fuerte"),2,IF(AND(W9="Preventivo",BB9="Moderado"),1,0))</f>
        <v>0</v>
      </c>
      <c r="BD9" s="142">
        <f>+IF(AND(W9="Detectivo/Correctivo",$BB9="Fuerte"),2,IF(AND(W9="Detectivo/Correctivo",$BB9="Moderado"),1,IF(AND(W9="Preventivo",$BB9="Fuerte"),1,0)))</f>
        <v>0</v>
      </c>
      <c r="BE9" s="142">
        <f>+N9-BC9</f>
        <v>1</v>
      </c>
      <c r="BF9" s="142">
        <f>+P9-BD9</f>
        <v>3</v>
      </c>
      <c r="BG9" s="297" t="str">
        <f>+VLOOKUP(MIN(BE9,BE10,BE11),[4]Listados!$J$18:$K$24,2,TRUE)</f>
        <v>Rara Vez</v>
      </c>
      <c r="BH9" s="297" t="str">
        <f>+VLOOKUP(MIN(BF9,BF10,BF11),[4]Listados!$J$26:$K$32,2,TRUE)</f>
        <v>Moderado</v>
      </c>
      <c r="BI9" s="382" t="s">
        <v>22</v>
      </c>
      <c r="BJ9" s="384" t="s">
        <v>462</v>
      </c>
      <c r="BK9" s="304">
        <v>45323</v>
      </c>
      <c r="BL9" s="304" t="s">
        <v>463</v>
      </c>
      <c r="BM9" s="379" t="s">
        <v>464</v>
      </c>
    </row>
    <row r="10" spans="1:16382" ht="127.5">
      <c r="A10" s="320"/>
      <c r="B10" s="450"/>
      <c r="C10" s="451"/>
      <c r="D10" s="391"/>
      <c r="E10" s="40" t="s">
        <v>182</v>
      </c>
      <c r="F10" s="452"/>
      <c r="G10" s="452"/>
      <c r="H10" s="453" t="s">
        <v>465</v>
      </c>
      <c r="I10" s="105" t="s">
        <v>203</v>
      </c>
      <c r="J10" s="453" t="s">
        <v>209</v>
      </c>
      <c r="K10" s="454" t="s">
        <v>31</v>
      </c>
      <c r="L10" s="102" t="s">
        <v>215</v>
      </c>
      <c r="M10" s="455"/>
      <c r="N10" s="456"/>
      <c r="O10" s="457"/>
      <c r="P10" s="456"/>
      <c r="Q10" s="458"/>
      <c r="R10" s="459"/>
      <c r="S10" s="460" t="s">
        <v>227</v>
      </c>
      <c r="T10" s="460" t="s">
        <v>328</v>
      </c>
      <c r="U10" s="461" t="s">
        <v>466</v>
      </c>
      <c r="V10" s="461" t="s">
        <v>208</v>
      </c>
      <c r="W10" s="460" t="s">
        <v>130</v>
      </c>
      <c r="X10" s="460" t="s">
        <v>119</v>
      </c>
      <c r="Y10" s="460">
        <f t="shared" si="3"/>
        <v>15</v>
      </c>
      <c r="Z10" s="460" t="s">
        <v>119</v>
      </c>
      <c r="AA10" s="460">
        <f t="shared" si="4"/>
        <v>15</v>
      </c>
      <c r="AB10" s="460" t="s">
        <v>119</v>
      </c>
      <c r="AC10" s="460">
        <f t="shared" si="5"/>
        <v>15</v>
      </c>
      <c r="AD10" s="460" t="s">
        <v>119</v>
      </c>
      <c r="AE10" s="460">
        <f t="shared" si="6"/>
        <v>15</v>
      </c>
      <c r="AF10" s="460" t="s">
        <v>119</v>
      </c>
      <c r="AG10" s="460">
        <f t="shared" si="7"/>
        <v>15</v>
      </c>
      <c r="AH10" s="460" t="s">
        <v>119</v>
      </c>
      <c r="AI10" s="460">
        <f t="shared" si="8"/>
        <v>15</v>
      </c>
      <c r="AJ10" s="460" t="s">
        <v>120</v>
      </c>
      <c r="AK10" s="462">
        <f t="shared" si="0"/>
        <v>10</v>
      </c>
      <c r="AL10" s="463">
        <f t="shared" si="9"/>
        <v>100</v>
      </c>
      <c r="AM10" s="463" t="str">
        <f t="shared" si="10"/>
        <v>Fuerte</v>
      </c>
      <c r="AN10" s="464" t="s">
        <v>357</v>
      </c>
      <c r="AO10" s="464">
        <f>IFERROR(VLOOKUP(AN10,'[4]Seguridad Información'!$C$61:$D$63,2,0),"")</f>
        <v>20</v>
      </c>
      <c r="AP10" s="464" t="s">
        <v>350</v>
      </c>
      <c r="AQ10" s="465">
        <f>IFERROR(VLOOKUP(AP10,'[4]Seguridad Información'!$E$61:$F$64,2,0),"")</f>
        <v>100</v>
      </c>
      <c r="AR10" s="466" t="s">
        <v>355</v>
      </c>
      <c r="AS10" s="466">
        <f>IFERROR(VLOOKUP(AR10,'[4]Seguridad Información'!$G$61:$H$64,2,0),"")</f>
        <v>60</v>
      </c>
      <c r="AT10" s="466" t="s">
        <v>352</v>
      </c>
      <c r="AU10" s="444">
        <f>IFERROR(VLOOKUP(AT10,'[4]Seguridad Información'!$I$61:$J$65,2,0),"")</f>
        <v>100</v>
      </c>
      <c r="AV10" s="444">
        <f>IFERROR(VLOOKUP(AT10,'[4]Seguridad Información'!$I$61:$J$65,2,0),"")</f>
        <v>100</v>
      </c>
      <c r="AW10" s="467">
        <f t="shared" ref="AW10:AW11" si="12">IFERROR(AVERAGE(AO10,AQ10,AS10,AU10),"")</f>
        <v>70</v>
      </c>
      <c r="AX10" s="467" t="str">
        <f t="shared" si="2"/>
        <v>Débil</v>
      </c>
      <c r="AY10" s="467" t="str">
        <f>IFERROR(VLOOKUP((CONCATENATE(AM10,AX10)),[4]Listados!$U$3:$V$11,2,FALSE),"")</f>
        <v>Débil</v>
      </c>
      <c r="AZ10" s="467">
        <f t="shared" si="11"/>
        <v>0</v>
      </c>
      <c r="BA10" s="468"/>
      <c r="BB10" s="468"/>
      <c r="BC10" s="467">
        <f>+IF(AND(W10="Preventivo",BB9="Fuerte"),2,IF(AND(W10="Preventivo",BB9="Moderado"),1,0))</f>
        <v>0</v>
      </c>
      <c r="BD10" s="467">
        <f>+IF(AND(W10="Detectivo/Correctivo",$BB9="Fuerte"),2,IF(AND(W10="Detectivo/Correctivo",$BB10="Moderado"),1,IF(AND(W10="Preventivo",$BB9="Fuerte"),1,0)))</f>
        <v>0</v>
      </c>
      <c r="BE10" s="467">
        <f>+N9-BC10</f>
        <v>1</v>
      </c>
      <c r="BF10" s="467">
        <f>+P9-BD10</f>
        <v>3</v>
      </c>
      <c r="BG10" s="459"/>
      <c r="BH10" s="459"/>
      <c r="BI10" s="458"/>
      <c r="BJ10" s="450"/>
      <c r="BK10" s="469"/>
      <c r="BL10" s="469"/>
      <c r="BM10" s="380"/>
    </row>
    <row r="11" spans="1:16382" ht="77.25" thickBot="1">
      <c r="A11" s="355"/>
      <c r="B11" s="385"/>
      <c r="C11" s="389"/>
      <c r="D11" s="392"/>
      <c r="E11" s="120" t="s">
        <v>181</v>
      </c>
      <c r="F11" s="312"/>
      <c r="G11" s="312"/>
      <c r="H11" s="143" t="s">
        <v>187</v>
      </c>
      <c r="I11" s="144" t="s">
        <v>202</v>
      </c>
      <c r="J11" s="143" t="s">
        <v>208</v>
      </c>
      <c r="K11" s="145" t="s">
        <v>17</v>
      </c>
      <c r="L11" s="146" t="s">
        <v>214</v>
      </c>
      <c r="M11" s="314"/>
      <c r="N11" s="316"/>
      <c r="O11" s="318"/>
      <c r="P11" s="316"/>
      <c r="Q11" s="383"/>
      <c r="R11" s="302"/>
      <c r="S11" s="125" t="s">
        <v>227</v>
      </c>
      <c r="T11" s="125" t="s">
        <v>318</v>
      </c>
      <c r="U11" s="126" t="s">
        <v>467</v>
      </c>
      <c r="V11" s="126" t="s">
        <v>208</v>
      </c>
      <c r="W11" s="125" t="s">
        <v>21</v>
      </c>
      <c r="X11" s="125" t="s">
        <v>119</v>
      </c>
      <c r="Y11" s="125">
        <f t="shared" si="3"/>
        <v>15</v>
      </c>
      <c r="Z11" s="125" t="s">
        <v>119</v>
      </c>
      <c r="AA11" s="125">
        <f t="shared" si="4"/>
        <v>15</v>
      </c>
      <c r="AB11" s="125" t="s">
        <v>119</v>
      </c>
      <c r="AC11" s="125">
        <f t="shared" si="5"/>
        <v>15</v>
      </c>
      <c r="AD11" s="125" t="s">
        <v>119</v>
      </c>
      <c r="AE11" s="125">
        <f t="shared" si="6"/>
        <v>15</v>
      </c>
      <c r="AF11" s="125" t="s">
        <v>119</v>
      </c>
      <c r="AG11" s="125">
        <f t="shared" si="7"/>
        <v>15</v>
      </c>
      <c r="AH11" s="125" t="s">
        <v>119</v>
      </c>
      <c r="AI11" s="125">
        <f t="shared" si="8"/>
        <v>15</v>
      </c>
      <c r="AJ11" s="125" t="s">
        <v>120</v>
      </c>
      <c r="AK11" s="128">
        <f t="shared" si="0"/>
        <v>10</v>
      </c>
      <c r="AL11" s="129">
        <f t="shared" si="9"/>
        <v>100</v>
      </c>
      <c r="AM11" s="129" t="str">
        <f t="shared" si="10"/>
        <v>Fuerte</v>
      </c>
      <c r="AN11" s="147" t="s">
        <v>353</v>
      </c>
      <c r="AO11" s="147">
        <f>IFERROR(VLOOKUP(AN11,'[4]Seguridad Información'!$C$61:$D$63,2,0),"")</f>
        <v>60</v>
      </c>
      <c r="AP11" s="147" t="s">
        <v>350</v>
      </c>
      <c r="AQ11" s="148">
        <f>IFERROR(VLOOKUP(AP11,'[4]Seguridad Información'!$E$61:$F$64,2,0),"")</f>
        <v>100</v>
      </c>
      <c r="AR11" s="149" t="s">
        <v>355</v>
      </c>
      <c r="AS11" s="149">
        <f>IFERROR(VLOOKUP(AR11,'[4]Seguridad Información'!$G$61:$H$64,2,0),"")</f>
        <v>60</v>
      </c>
      <c r="AT11" s="149" t="s">
        <v>352</v>
      </c>
      <c r="AU11" s="133">
        <f>IFERROR(VLOOKUP(AT11,'[4]Seguridad Información'!$I$61:$J$65,2,0),"")</f>
        <v>100</v>
      </c>
      <c r="AV11" s="133">
        <f>IFERROR(VLOOKUP(AT11,'[4]Seguridad Información'!$I$61:$J$65,2,0),"")</f>
        <v>100</v>
      </c>
      <c r="AW11" s="150">
        <f t="shared" si="12"/>
        <v>80</v>
      </c>
      <c r="AX11" s="150" t="str">
        <f t="shared" si="2"/>
        <v>Débil</v>
      </c>
      <c r="AY11" s="150" t="str">
        <f>IFERROR(VLOOKUP((CONCATENATE(AM11,AX11)),[4]Listados!$U$3:$V$11,2,FALSE),"")</f>
        <v>Débil</v>
      </c>
      <c r="AZ11" s="150">
        <f t="shared" si="11"/>
        <v>0</v>
      </c>
      <c r="BA11" s="387"/>
      <c r="BB11" s="387"/>
      <c r="BC11" s="150">
        <f>+IF(AND(W11="Preventivo",BB9="Fuerte"),2,IF(AND(W11="Preventivo",BB9="Moderado"),1,0))</f>
        <v>0</v>
      </c>
      <c r="BD11" s="150">
        <f>+IF(AND(W11="Detectivo/Correctivo",$BB9="Fuerte"),2,IF(AND(W11="Detectivo/Correctivo",$BB11="Moderado"),1,IF(AND(W11="Preventivo",$BB9="Fuerte"),1,0)))</f>
        <v>0</v>
      </c>
      <c r="BE11" s="150">
        <f>+N9-BC11</f>
        <v>1</v>
      </c>
      <c r="BF11" s="150">
        <f>+P9-BD11</f>
        <v>3</v>
      </c>
      <c r="BG11" s="302"/>
      <c r="BH11" s="302"/>
      <c r="BI11" s="383"/>
      <c r="BJ11" s="385"/>
      <c r="BK11" s="303"/>
      <c r="BL11" s="303"/>
      <c r="BM11" s="381"/>
    </row>
    <row r="12" spans="1:16382" ht="114.75">
      <c r="A12" s="152">
        <v>27</v>
      </c>
      <c r="B12" s="153" t="s">
        <v>61</v>
      </c>
      <c r="C12" s="154" t="str">
        <f>IFERROR(VLOOKUP(B12,[5]Listados!B$3:C$20,2,FALSE),"")</f>
        <v>Orientar la gestión del Ministerio de Justicia y del Derecho y de las entidades adscritas para que las acciones se deriven de una  planeación eficiente y articulada que optimice el uso de los recursos en el logro de los objetivos institucionales</v>
      </c>
      <c r="D12" s="155" t="s">
        <v>468</v>
      </c>
      <c r="E12" s="107" t="s">
        <v>181</v>
      </c>
      <c r="F12" s="138" t="s">
        <v>180</v>
      </c>
      <c r="G12" s="138" t="s">
        <v>197</v>
      </c>
      <c r="H12" s="108" t="s">
        <v>187</v>
      </c>
      <c r="I12" s="108" t="s">
        <v>202</v>
      </c>
      <c r="J12" s="108" t="s">
        <v>469</v>
      </c>
      <c r="K12" s="109" t="s">
        <v>17</v>
      </c>
      <c r="L12" s="109" t="s">
        <v>214</v>
      </c>
      <c r="M12" s="153" t="s">
        <v>32</v>
      </c>
      <c r="N12" s="156">
        <f>+VLOOKUP(M12,[5]Listados!$K$8:$L$12,2,0)</f>
        <v>2</v>
      </c>
      <c r="O12" s="157" t="s">
        <v>33</v>
      </c>
      <c r="P12" s="156">
        <f>+VLOOKUP(O12,[5]Listados!$K$13:$L$17,2,0)</f>
        <v>2</v>
      </c>
      <c r="Q12" s="113" t="str">
        <f>IF(AND(M12&lt;&gt;"",O12&lt;&gt;""),VLOOKUP(M12&amp;O12,[5]Listados!$M$3:$N$27,2,FALSE),"")</f>
        <v>Bajo</v>
      </c>
      <c r="R12" s="113" t="str">
        <f>+VLOOKUP(Q12,[5]Listados!$P$3:$Q$6,2,FALSE)</f>
        <v>Asumir el riesgo</v>
      </c>
      <c r="S12" s="110" t="s">
        <v>224</v>
      </c>
      <c r="T12" s="110" t="s">
        <v>276</v>
      </c>
      <c r="U12" s="111" t="s">
        <v>470</v>
      </c>
      <c r="V12" s="111" t="s">
        <v>210</v>
      </c>
      <c r="W12" s="110" t="s">
        <v>21</v>
      </c>
      <c r="X12" s="110" t="s">
        <v>119</v>
      </c>
      <c r="Y12" s="110">
        <f t="shared" si="3"/>
        <v>15</v>
      </c>
      <c r="Z12" s="110" t="s">
        <v>119</v>
      </c>
      <c r="AA12" s="110">
        <f t="shared" si="4"/>
        <v>15</v>
      </c>
      <c r="AB12" s="110" t="s">
        <v>119</v>
      </c>
      <c r="AC12" s="110">
        <f t="shared" si="5"/>
        <v>15</v>
      </c>
      <c r="AD12" s="110" t="s">
        <v>119</v>
      </c>
      <c r="AE12" s="110">
        <f t="shared" si="6"/>
        <v>15</v>
      </c>
      <c r="AF12" s="110" t="s">
        <v>119</v>
      </c>
      <c r="AG12" s="110">
        <f t="shared" si="7"/>
        <v>15</v>
      </c>
      <c r="AH12" s="110" t="s">
        <v>119</v>
      </c>
      <c r="AI12" s="110">
        <f t="shared" si="8"/>
        <v>15</v>
      </c>
      <c r="AJ12" s="110" t="s">
        <v>120</v>
      </c>
      <c r="AK12" s="113">
        <f>+IF(AJ12="Completa",10,IF(AJ12="Incompleta",5,""))</f>
        <v>10</v>
      </c>
      <c r="AL12" s="114">
        <f>IF((SUM(Y12,AA12,AC12,AE12,AG12,AI12,AK12)=0),"",(SUM(Y12,AA12,AC12,AE12,AG12,AI12,AK12)))</f>
        <v>100</v>
      </c>
      <c r="AM12" s="114" t="str">
        <f>IF(AL12&lt;=85,"Débil",IF(AL12&lt;=95,"Moderado",IF(AL12=100,"Fuerte","")))</f>
        <v>Fuerte</v>
      </c>
      <c r="AN12" s="139" t="s">
        <v>353</v>
      </c>
      <c r="AO12" s="158">
        <f>IFERROR(VLOOKUP(AN12,'[5]Seguridad Información'!$C$61:$D$63,2,0),"")</f>
        <v>60</v>
      </c>
      <c r="AP12" s="139" t="s">
        <v>350</v>
      </c>
      <c r="AQ12" s="158">
        <f>IFERROR(VLOOKUP(AP12,'[5]Seguridad Información'!$E$61:$F$64,2,0),"")</f>
        <v>100</v>
      </c>
      <c r="AR12" s="139" t="s">
        <v>355</v>
      </c>
      <c r="AS12" s="158">
        <f>IFERROR(VLOOKUP(AR12,'[5]Seguridad Información'!$G$61:$H$64,2,0),"")</f>
        <v>60</v>
      </c>
      <c r="AT12" s="158" t="s">
        <v>352</v>
      </c>
      <c r="AU12" s="159">
        <f>IFERROR(VLOOKUP(AT12,'[5]Seguridad Información'!$I$61:$J$65,2,0),"")</f>
        <v>100</v>
      </c>
      <c r="AV12" s="117"/>
      <c r="AW12" s="118">
        <f>IFERROR(AVERAGE(AO12,AQ12,AS12,AU12),"")</f>
        <v>80</v>
      </c>
      <c r="AX12" s="114" t="str">
        <f>IF(AW12&lt;=80,"Débil",IF(AW12&lt;=90,"Moderado",IF(AW12=100,"Fuerte","")))</f>
        <v>Débil</v>
      </c>
      <c r="AY12" s="118" t="str">
        <f>IFERROR(VLOOKUP((CONCATENATE(AM12,AX12)),[5]Listados!$U$3:$V$11,2,FALSE),"")</f>
        <v>Débil</v>
      </c>
      <c r="AZ12" s="114">
        <f>IF(ISBLANK(AY12),"",IF(AY12="Débil", 0, IF(AY12="Moderado",50,100)))</f>
        <v>0</v>
      </c>
      <c r="BA12" s="114">
        <f>AVERAGE(AZ12:AZ12)</f>
        <v>0</v>
      </c>
      <c r="BB12" s="114" t="str">
        <f>IF(BA12&lt;=50, "Débil", IF(BA12&lt;=99,"Moderado","Fuerte"))</f>
        <v>Débil</v>
      </c>
      <c r="BC12" s="119">
        <f>+IF(AND(W12="Preventivo",BB12="Fuerte"),2,IF(AND(W12="Preventivo",BB12="Moderado"),1,0))</f>
        <v>0</v>
      </c>
      <c r="BD12" s="119">
        <f>+IF(AND(W12="Detectivo/Correctivo",$BB12="Fuerte"),2,IF(AND(W12="Detectivo/Correctivo",$BB12="Moderado"),1,IF(AND(W12="Preventivo",$BB12="Fuerte"),1,0)))</f>
        <v>0</v>
      </c>
      <c r="BE12" s="119">
        <f>+N12-BC12</f>
        <v>2</v>
      </c>
      <c r="BF12" s="119">
        <f>+P12-BD12</f>
        <v>2</v>
      </c>
      <c r="BG12" s="160" t="str">
        <f>+VLOOKUP(MIN(BE12),[5]Listados!$J$18:$K$24,2,TRUE)</f>
        <v>Improbable</v>
      </c>
      <c r="BH12" s="160" t="str">
        <f>+VLOOKUP(MIN(BF12),[5]Listados!$J$26:$K$32,2,TRUE)</f>
        <v>Menor</v>
      </c>
      <c r="BI12" s="161" t="str">
        <f>IF(AND(BG12&lt;&gt;"",BH12&lt;&gt;""),VLOOKUP(BG12&amp;BH12,[5]Listados!$M$3:$N$27,2,FALSE),"")</f>
        <v>Bajo</v>
      </c>
      <c r="BJ12" s="110" t="str">
        <f t="shared" ref="BJ12:BM14" si="13">+IF($R12="Asumir el riesgo","NA","")</f>
        <v>NA</v>
      </c>
      <c r="BK12" s="110" t="str">
        <f t="shared" si="13"/>
        <v>NA</v>
      </c>
      <c r="BL12" s="110" t="str">
        <f t="shared" si="13"/>
        <v>NA</v>
      </c>
      <c r="BM12" s="162" t="str">
        <f t="shared" si="13"/>
        <v>NA</v>
      </c>
    </row>
    <row r="13" spans="1:16382" ht="128.25" thickBot="1">
      <c r="A13" s="163">
        <v>13</v>
      </c>
      <c r="B13" s="164" t="s">
        <v>86</v>
      </c>
      <c r="C13" s="165" t="str">
        <f>IFERROR(VLOOKUP(B13,[6]Listados!B$3:C$20,2,FALSE),"")</f>
        <v xml:space="preserve"> Fijar los lineamientos, parámetros y actividades requeridas para garantizar la gestión de los servicios administrativos, logísticos y la administración de los bienes necesario para la operación del Ministerio de Justicia y del Derecho.</v>
      </c>
      <c r="D13" s="166" t="s">
        <v>471</v>
      </c>
      <c r="E13" s="167" t="s">
        <v>181</v>
      </c>
      <c r="F13" s="146" t="s">
        <v>181</v>
      </c>
      <c r="G13" s="146" t="s">
        <v>198</v>
      </c>
      <c r="H13" s="122" t="s">
        <v>184</v>
      </c>
      <c r="I13" s="122" t="s">
        <v>202</v>
      </c>
      <c r="J13" s="122" t="s">
        <v>469</v>
      </c>
      <c r="K13" s="124" t="s">
        <v>17</v>
      </c>
      <c r="L13" s="124" t="s">
        <v>215</v>
      </c>
      <c r="M13" s="164" t="s">
        <v>22</v>
      </c>
      <c r="N13" s="168">
        <f>+VLOOKUP(M13,[6]Listados!$K$8:$L$12,2,0)</f>
        <v>1</v>
      </c>
      <c r="O13" s="169" t="s">
        <v>33</v>
      </c>
      <c r="P13" s="168">
        <f>+VLOOKUP(O13,[6]Listados!$K$13:$L$17,2,0)</f>
        <v>2</v>
      </c>
      <c r="Q13" s="170" t="str">
        <f>IF(AND(M13&lt;&gt;"",O13&lt;&gt;""),VLOOKUP(M13&amp;O13,[6]Listados!$M$3:$N$27,2,FALSE),"")</f>
        <v>Bajo</v>
      </c>
      <c r="R13" s="170" t="str">
        <f>+VLOOKUP(Q13,[6]Listados!$P$3:$Q$6,2,FALSE)</f>
        <v>Asumir el riesgo</v>
      </c>
      <c r="S13" s="171" t="s">
        <v>224</v>
      </c>
      <c r="T13" s="171" t="s">
        <v>276</v>
      </c>
      <c r="U13" s="172" t="s">
        <v>472</v>
      </c>
      <c r="V13" s="172" t="s">
        <v>469</v>
      </c>
      <c r="W13" s="171" t="s">
        <v>21</v>
      </c>
      <c r="X13" s="171" t="s">
        <v>119</v>
      </c>
      <c r="Y13" s="125">
        <f t="shared" si="3"/>
        <v>15</v>
      </c>
      <c r="Z13" s="171" t="s">
        <v>119</v>
      </c>
      <c r="AA13" s="125">
        <f t="shared" si="4"/>
        <v>15</v>
      </c>
      <c r="AB13" s="171" t="s">
        <v>119</v>
      </c>
      <c r="AC13" s="125">
        <f t="shared" si="5"/>
        <v>15</v>
      </c>
      <c r="AD13" s="171" t="s">
        <v>119</v>
      </c>
      <c r="AE13" s="125">
        <f t="shared" si="6"/>
        <v>15</v>
      </c>
      <c r="AF13" s="171" t="s">
        <v>119</v>
      </c>
      <c r="AG13" s="125">
        <f t="shared" si="7"/>
        <v>15</v>
      </c>
      <c r="AH13" s="171" t="s">
        <v>119</v>
      </c>
      <c r="AI13" s="125">
        <f t="shared" si="8"/>
        <v>15</v>
      </c>
      <c r="AJ13" s="171" t="s">
        <v>120</v>
      </c>
      <c r="AK13" s="170">
        <f>+IF(AJ13="Completa",10,IF(AJ13="Incompleta",5,""))</f>
        <v>10</v>
      </c>
      <c r="AL13" s="173">
        <f>IF((SUM(Y13,AA13,AC13,AE13,AG13,AI13,AK13)=0),"",(SUM(Y13,AA13,AC13,AE13,AG13,AI13,AK13)))</f>
        <v>100</v>
      </c>
      <c r="AM13" s="173" t="str">
        <f>IF(AL13&lt;=85,"Débil",IF(AL13&lt;=95,"Moderado",IF(AL13=100,"Fuerte","")))</f>
        <v>Fuerte</v>
      </c>
      <c r="AN13" s="174" t="s">
        <v>353</v>
      </c>
      <c r="AO13" s="174">
        <f>IFERROR(VLOOKUP(AN13,'[6]Seguridad Información'!$C$61:$D$63,2,0),"")</f>
        <v>60</v>
      </c>
      <c r="AP13" s="175" t="s">
        <v>350</v>
      </c>
      <c r="AQ13" s="174">
        <f>IFERROR(VLOOKUP(AP13,'[6]Seguridad Información'!$E$61:$F$64,2,0),"")</f>
        <v>100</v>
      </c>
      <c r="AR13" s="175" t="s">
        <v>355</v>
      </c>
      <c r="AS13" s="174">
        <f>IFERROR(VLOOKUP(AR13,'[6]Seguridad Información'!$G$61:$H$64,2,0),"")</f>
        <v>60</v>
      </c>
      <c r="AT13" s="175" t="s">
        <v>352</v>
      </c>
      <c r="AU13" s="176">
        <f>IFERROR(VLOOKUP(AT13,'[6]Seguridad Información'!$I$61:$J$65,2,0),"")</f>
        <v>100</v>
      </c>
      <c r="AV13" s="177"/>
      <c r="AW13" s="178">
        <f>IFERROR(AVERAGE(AO13,AQ13,AS13,AU13),"")</f>
        <v>80</v>
      </c>
      <c r="AX13" s="173" t="str">
        <f>IF(AW13&lt;=80,"Débil",IF(AW13&lt;=90,"Moderado",IF(AW13=100,"Fuerte","")))</f>
        <v>Débil</v>
      </c>
      <c r="AY13" s="178" t="str">
        <f>IFERROR(VLOOKUP((CONCATENATE(AM13,AX13)),[6]Listados!$U$3:$V$11,2,FALSE),"")</f>
        <v>Débil</v>
      </c>
      <c r="AZ13" s="173">
        <f>IF(ISBLANK(AY13),"",IF(AY13="Débil", 0, IF(AY13="Moderado",50,100)))</f>
        <v>0</v>
      </c>
      <c r="BA13" s="173">
        <f>AVERAGE(AZ13:AZ13)</f>
        <v>0</v>
      </c>
      <c r="BB13" s="173" t="str">
        <f>IF(BA13&lt;=50, "Débil", IF(BA13&lt;=99,"Moderado","Fuerte"))</f>
        <v>Débil</v>
      </c>
      <c r="BC13" s="179">
        <f>+IF(AND(W13="Preventivo",BB13="Fuerte"),2,IF(AND(W13="Preventivo",BB13="Moderado"),1,0))</f>
        <v>0</v>
      </c>
      <c r="BD13" s="179">
        <f>+IF(AND(W13="Detectivo/Correctivo",$BB13="Fuerte"),2,IF(AND(W13="Detectivo/Correctivo",$BB13="Moderado"),1,IF(AND(W13="Preventivo",$BB13="Fuerte"),1,0)))</f>
        <v>0</v>
      </c>
      <c r="BE13" s="135">
        <f>+N13-BC13</f>
        <v>1</v>
      </c>
      <c r="BF13" s="135">
        <f>+P13-BD13</f>
        <v>2</v>
      </c>
      <c r="BG13" s="180" t="str">
        <f>+VLOOKUP(MIN(BE13,BE14),[7]Listados!$J$18:$K$24,2,TRUE)</f>
        <v>Rara Vez</v>
      </c>
      <c r="BH13" s="180" t="str">
        <f>+VLOOKUP(MIN(BF13,BF14),[7]Listados!$J$26:$K$32,2,TRUE)</f>
        <v>Menor</v>
      </c>
      <c r="BI13" s="180" t="str">
        <f>IF(AND(BG13&lt;&gt;"",BH13&lt;&gt;""),VLOOKUP(BG13&amp;BH13,[7]Listados!$M$3:$N$27,2,FALSE),"")</f>
        <v>Bajo</v>
      </c>
      <c r="BJ13" s="125" t="str">
        <f t="shared" si="13"/>
        <v>NA</v>
      </c>
      <c r="BK13" s="125" t="str">
        <f t="shared" si="13"/>
        <v>NA</v>
      </c>
      <c r="BL13" s="125" t="str">
        <f t="shared" si="13"/>
        <v>NA</v>
      </c>
      <c r="BM13" s="181" t="str">
        <f t="shared" si="13"/>
        <v>NA</v>
      </c>
    </row>
    <row r="14" spans="1:16382" ht="99" customHeight="1">
      <c r="A14" s="319">
        <v>1</v>
      </c>
      <c r="B14" s="313" t="s">
        <v>107</v>
      </c>
      <c r="C14" s="307" t="str">
        <f>IFERROR(VLOOKUP(B14,[8]Listados!B$3:C$20,2,FALSE),"")</f>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
      <c r="D14" s="309" t="s">
        <v>473</v>
      </c>
      <c r="E14" s="107" t="s">
        <v>181</v>
      </c>
      <c r="F14" s="311" t="s">
        <v>181</v>
      </c>
      <c r="G14" s="311" t="s">
        <v>198</v>
      </c>
      <c r="H14" s="108" t="s">
        <v>184</v>
      </c>
      <c r="I14" s="108" t="s">
        <v>202</v>
      </c>
      <c r="J14" s="108" t="s">
        <v>474</v>
      </c>
      <c r="K14" s="109" t="s">
        <v>17</v>
      </c>
      <c r="L14" s="109" t="s">
        <v>215</v>
      </c>
      <c r="M14" s="313" t="s">
        <v>22</v>
      </c>
      <c r="N14" s="315">
        <f>+VLOOKUP(M14,[8]Listados!$K$8:$L$12,2,0)</f>
        <v>1</v>
      </c>
      <c r="O14" s="317" t="s">
        <v>33</v>
      </c>
      <c r="P14" s="315">
        <f>+VLOOKUP(O14,[8]Listados!$K$13:$L$17,2,0)</f>
        <v>2</v>
      </c>
      <c r="Q14" s="297" t="str">
        <f>IF(AND(M14&lt;&gt;"",O14&lt;&gt;""),VLOOKUP(M14&amp;O14,[8]Listados!$M$3:$N$27,2,FALSE),"")</f>
        <v>Bajo</v>
      </c>
      <c r="R14" s="297" t="str">
        <f>+VLOOKUP(Q14,[8]Listados!$P$3:$Q$6,2,FALSE)</f>
        <v>Asumir el riesgo</v>
      </c>
      <c r="S14" s="110" t="s">
        <v>224</v>
      </c>
      <c r="T14" s="110" t="s">
        <v>276</v>
      </c>
      <c r="U14" s="111" t="s">
        <v>475</v>
      </c>
      <c r="V14" s="111" t="s">
        <v>474</v>
      </c>
      <c r="W14" s="112" t="s">
        <v>21</v>
      </c>
      <c r="X14" s="110" t="s">
        <v>119</v>
      </c>
      <c r="Y14" s="110">
        <f t="shared" si="3"/>
        <v>15</v>
      </c>
      <c r="Z14" s="110" t="s">
        <v>119</v>
      </c>
      <c r="AA14" s="110">
        <f t="shared" si="4"/>
        <v>15</v>
      </c>
      <c r="AB14" s="110" t="s">
        <v>119</v>
      </c>
      <c r="AC14" s="110">
        <f t="shared" si="5"/>
        <v>15</v>
      </c>
      <c r="AD14" s="110" t="s">
        <v>119</v>
      </c>
      <c r="AE14" s="110">
        <f t="shared" si="6"/>
        <v>15</v>
      </c>
      <c r="AF14" s="110" t="s">
        <v>119</v>
      </c>
      <c r="AG14" s="110">
        <f t="shared" si="7"/>
        <v>15</v>
      </c>
      <c r="AH14" s="110" t="s">
        <v>119</v>
      </c>
      <c r="AI14" s="110">
        <f t="shared" si="8"/>
        <v>15</v>
      </c>
      <c r="AJ14" s="110" t="s">
        <v>120</v>
      </c>
      <c r="AK14" s="113">
        <f>+IF(AJ14="Completa",10,IF(AJ14="Incompleta",5,""))</f>
        <v>10</v>
      </c>
      <c r="AL14" s="114">
        <f>IF((SUM(Y14,AA14,AC14,AE14,AG14,AI14,AK14)=0),"",(SUM(Y14,AA14,AC14,AE14,AG14,AI14,AK14)))</f>
        <v>100</v>
      </c>
      <c r="AM14" s="114" t="str">
        <f>IF(AL14&lt;=85,"Débil",IF(AL14&lt;=95,"Moderado",IF(AL14=100,"Fuerte","")))</f>
        <v>Fuerte</v>
      </c>
      <c r="AN14" s="140" t="s">
        <v>353</v>
      </c>
      <c r="AO14" s="140">
        <f>IFERROR(VLOOKUP(AN14,'[8]Seguridad Información'!$C$61:$D$63,2,0),"")</f>
        <v>60</v>
      </c>
      <c r="AP14" s="140" t="s">
        <v>350</v>
      </c>
      <c r="AQ14" s="140">
        <f>IFERROR(VLOOKUP(AP14,'[8]Seguridad Información'!$E$61:$F$64,2,0),"")</f>
        <v>100</v>
      </c>
      <c r="AR14" s="140" t="s">
        <v>355</v>
      </c>
      <c r="AS14" s="140">
        <f>IFERROR(VLOOKUP(AR14,'[8]Seguridad Información'!$G$61:$H$64,2,0),"")</f>
        <v>60</v>
      </c>
      <c r="AT14" s="140" t="s">
        <v>352</v>
      </c>
      <c r="AU14" s="182">
        <f>IFERROR(VLOOKUP(AT14,'[8]Seguridad Información'!$I$61:$J$65,2,0),"")</f>
        <v>100</v>
      </c>
      <c r="AV14" s="117"/>
      <c r="AW14" s="118">
        <f>IFERROR(AVERAGE(AO14,AQ14,AS14,AU14),"")</f>
        <v>80</v>
      </c>
      <c r="AX14" s="114" t="str">
        <f>IF(AW14&lt;=80,"Débil",IF(AW14&lt;=90,"Moderado",IF(AW14=100,"Fuerte","")))</f>
        <v>Débil</v>
      </c>
      <c r="AY14" s="118" t="str">
        <f>IFERROR(VLOOKUP((CONCATENATE(AM14,AX14)),[8]Listados!$U$3:$V$11,2,FALSE),"")</f>
        <v>Débil</v>
      </c>
      <c r="AZ14" s="114">
        <f>IF(ISBLANK(AY14),"",IF(AY14="Débil", 0, IF(AY14="Moderado",50,100)))</f>
        <v>0</v>
      </c>
      <c r="BA14" s="323">
        <f>AVERAGE(AZ14:AZ15)</f>
        <v>0</v>
      </c>
      <c r="BB14" s="323" t="str">
        <f>IF(BA14&lt;=50, "Débil", IF(BA14&lt;=99,"Moderado","Fuerte"))</f>
        <v>Débil</v>
      </c>
      <c r="BC14" s="119">
        <f>+IF(AND(W14="Preventivo",BB14="Fuerte"),2,IF(AND(W14="Preventivo",BB14="Moderado"),1,0))</f>
        <v>0</v>
      </c>
      <c r="BD14" s="119">
        <f>+IF(AND(W14="Detectivo/Correctivo",$BB14="Fuerte"),2,IF(AND(W14="Detectivo/Correctivo",$BB14="Moderado"),1,IF(AND(W14="Preventivo",$BB14="Fuerte"),1,0)))</f>
        <v>0</v>
      </c>
      <c r="BE14" s="119">
        <f>+N14-BC14</f>
        <v>1</v>
      </c>
      <c r="BF14" s="119">
        <f>+P14-BD14</f>
        <v>2</v>
      </c>
      <c r="BG14" s="297" t="str">
        <f>+VLOOKUP(MIN(BE14,BE15),[8]Listados!$J$18:$K$24,2,TRUE)</f>
        <v>Rara Vez</v>
      </c>
      <c r="BH14" s="297" t="str">
        <f>+VLOOKUP(MIN(BF14,BF15),[8]Listados!$J$26:$K$32,2,TRUE)</f>
        <v>Menor</v>
      </c>
      <c r="BI14" s="297" t="str">
        <f>IF(AND(BG14&lt;&gt;"",BH14&lt;&gt;""),VLOOKUP(BG14&amp;BH14,[8]Listados!$M$3:$N$27,2,FALSE),"")</f>
        <v>Bajo</v>
      </c>
      <c r="BJ14" s="298" t="str">
        <f t="shared" si="13"/>
        <v>NA</v>
      </c>
      <c r="BK14" s="298" t="str">
        <f t="shared" si="13"/>
        <v>NA</v>
      </c>
      <c r="BL14" s="298" t="str">
        <f t="shared" si="13"/>
        <v>NA</v>
      </c>
      <c r="BM14" s="305" t="str">
        <f t="shared" si="13"/>
        <v>NA</v>
      </c>
    </row>
    <row r="15" spans="1:16382" ht="95.25" customHeight="1">
      <c r="A15" s="320"/>
      <c r="B15" s="455"/>
      <c r="C15" s="470"/>
      <c r="D15" s="321"/>
      <c r="E15" s="40" t="s">
        <v>180</v>
      </c>
      <c r="F15" s="452"/>
      <c r="G15" s="452"/>
      <c r="H15" s="471" t="s">
        <v>186</v>
      </c>
      <c r="I15" s="22" t="s">
        <v>201</v>
      </c>
      <c r="J15" s="471" t="s">
        <v>210</v>
      </c>
      <c r="K15" s="472" t="s">
        <v>17</v>
      </c>
      <c r="L15" s="23" t="s">
        <v>214</v>
      </c>
      <c r="M15" s="455"/>
      <c r="N15" s="456"/>
      <c r="O15" s="457"/>
      <c r="P15" s="456"/>
      <c r="Q15" s="459"/>
      <c r="R15" s="459"/>
      <c r="S15" s="460" t="s">
        <v>224</v>
      </c>
      <c r="T15" s="460" t="s">
        <v>252</v>
      </c>
      <c r="U15" s="461" t="s">
        <v>476</v>
      </c>
      <c r="V15" s="461" t="s">
        <v>210</v>
      </c>
      <c r="W15" s="473" t="s">
        <v>21</v>
      </c>
      <c r="X15" s="460" t="s">
        <v>119</v>
      </c>
      <c r="Y15" s="460">
        <f t="shared" si="3"/>
        <v>15</v>
      </c>
      <c r="Z15" s="460" t="s">
        <v>119</v>
      </c>
      <c r="AA15" s="460">
        <f t="shared" si="4"/>
        <v>15</v>
      </c>
      <c r="AB15" s="460" t="s">
        <v>119</v>
      </c>
      <c r="AC15" s="460">
        <f t="shared" si="5"/>
        <v>15</v>
      </c>
      <c r="AD15" s="460" t="s">
        <v>119</v>
      </c>
      <c r="AE15" s="460">
        <f t="shared" si="6"/>
        <v>15</v>
      </c>
      <c r="AF15" s="460" t="s">
        <v>119</v>
      </c>
      <c r="AG15" s="460">
        <f t="shared" si="7"/>
        <v>15</v>
      </c>
      <c r="AH15" s="460" t="s">
        <v>119</v>
      </c>
      <c r="AI15" s="460">
        <f t="shared" si="8"/>
        <v>15</v>
      </c>
      <c r="AJ15" s="460" t="s">
        <v>120</v>
      </c>
      <c r="AK15" s="462">
        <f t="shared" ref="AK15:AK17" si="14">+IF(AJ15="Completa",10,IF(AJ15="Incompleta",5,""))</f>
        <v>10</v>
      </c>
      <c r="AL15" s="463">
        <f>IF((SUM(Y15,AA15,AC15,AE15,AG15,AI15,AK15)=0),"",(SUM(Y15,AA15,AC15,AE15,AG15,AI15,AK15)))</f>
        <v>100</v>
      </c>
      <c r="AM15" s="463" t="str">
        <f>IF(AL15&lt;=85,"Débil",IF(AL15&lt;=95,"Moderado",IF(AL15=100,"Fuerte","")))</f>
        <v>Fuerte</v>
      </c>
      <c r="AN15" s="465" t="s">
        <v>357</v>
      </c>
      <c r="AO15" s="106">
        <f>IFERROR(VLOOKUP(AN15,'[8]Seguridad Información'!$C$61:$D$63,2,0),"")</f>
        <v>20</v>
      </c>
      <c r="AP15" s="465" t="s">
        <v>350</v>
      </c>
      <c r="AQ15" s="106">
        <f>IFERROR(VLOOKUP(AP15,'[8]Seguridad Información'!$E$61:$F$64,2,0),"")</f>
        <v>100</v>
      </c>
      <c r="AR15" s="465" t="s">
        <v>355</v>
      </c>
      <c r="AS15" s="106">
        <f>IFERROR(VLOOKUP(AR15,'[8]Seguridad Información'!$G$61:$H$64,2,0),"")</f>
        <v>60</v>
      </c>
      <c r="AT15" s="465" t="s">
        <v>352</v>
      </c>
      <c r="AU15" s="474">
        <f>IFERROR(VLOOKUP(AT15,'[8]Seguridad Información'!$I$61:$J$65,2,0),"")</f>
        <v>100</v>
      </c>
      <c r="AV15" s="444"/>
      <c r="AW15" s="475">
        <f t="shared" ref="AW15:AW17" si="15">IFERROR(AVERAGE(AO15,AQ15,AS15,AU15),"")</f>
        <v>70</v>
      </c>
      <c r="AX15" s="463" t="str">
        <f t="shared" ref="AX15:AX17" si="16">IF(AW15&lt;=80,"Débil",IF(AW15&lt;=90,"Moderado",IF(AW15=100,"Fuerte","")))</f>
        <v>Débil</v>
      </c>
      <c r="AY15" s="475" t="str">
        <f>IFERROR(VLOOKUP((CONCATENATE(AM15,AX15)),[8]Listados!$U$3:$V$11,2,FALSE),"")</f>
        <v>Débil</v>
      </c>
      <c r="AZ15" s="463">
        <f>IF(ISBLANK(AY15),"",IF(AY15="Débil", 0, IF(AY15="Moderado",50,100)))</f>
        <v>0</v>
      </c>
      <c r="BA15" s="476"/>
      <c r="BB15" s="476"/>
      <c r="BC15" s="477">
        <f>+IF(AND(W15="Preventivo",BB14="Fuerte"),2,IF(AND(W15="Preventivo",BB14="Moderado"),1,0))</f>
        <v>0</v>
      </c>
      <c r="BD15" s="477">
        <f>+IF(AND(W15="Detectivo/Correctivo",$BB14="Fuerte"),2,IF(AND(W15="Detectivo/Correctivo",$BB15="Moderado"),1,IF(AND(W15="Preventivo",$BB14="Fuerte"),1,0)))</f>
        <v>0</v>
      </c>
      <c r="BE15" s="477">
        <f>+N14-BC15</f>
        <v>1</v>
      </c>
      <c r="BF15" s="477">
        <f>+P14-BD15</f>
        <v>2</v>
      </c>
      <c r="BG15" s="459"/>
      <c r="BH15" s="459"/>
      <c r="BI15" s="459"/>
      <c r="BJ15" s="469"/>
      <c r="BK15" s="469"/>
      <c r="BL15" s="469"/>
      <c r="BM15" s="300"/>
    </row>
    <row r="16" spans="1:16382" ht="77.25" customHeight="1">
      <c r="A16" s="320">
        <v>2</v>
      </c>
      <c r="B16" s="478" t="s">
        <v>107</v>
      </c>
      <c r="C16" s="470" t="str">
        <f>IFERROR(VLOOKUP(B16,[8]Listados!B$3:C$20,2,FALSE),"")</f>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
      <c r="D16" s="357" t="s">
        <v>477</v>
      </c>
      <c r="E16" s="40" t="s">
        <v>182</v>
      </c>
      <c r="F16" s="452" t="s">
        <v>182</v>
      </c>
      <c r="G16" s="358" t="s">
        <v>199</v>
      </c>
      <c r="H16" s="471" t="s">
        <v>188</v>
      </c>
      <c r="I16" s="22" t="s">
        <v>203</v>
      </c>
      <c r="J16" s="471" t="s">
        <v>211</v>
      </c>
      <c r="K16" s="472" t="s">
        <v>17</v>
      </c>
      <c r="L16" s="23" t="s">
        <v>215</v>
      </c>
      <c r="M16" s="455" t="s">
        <v>22</v>
      </c>
      <c r="N16" s="456">
        <f>+VLOOKUP(M16,[8]Listados!$K$8:$L$12,2,0)</f>
        <v>1</v>
      </c>
      <c r="O16" s="457" t="s">
        <v>33</v>
      </c>
      <c r="P16" s="456">
        <f>+VLOOKUP(O16,[8]Listados!$K$13:$L$17,2,0)</f>
        <v>2</v>
      </c>
      <c r="Q16" s="459" t="str">
        <f>IF(AND(M16&lt;&gt;"",O16&lt;&gt;""),VLOOKUP(M16&amp;O16,[8]Listados!$M$3:$N$27,2,FALSE),"")</f>
        <v>Bajo</v>
      </c>
      <c r="R16" s="459" t="str">
        <f>+VLOOKUP(Q16,[8]Listados!$P$3:$Q$6,2,FALSE)</f>
        <v>Asumir el riesgo</v>
      </c>
      <c r="S16" s="460" t="s">
        <v>220</v>
      </c>
      <c r="T16" s="460" t="s">
        <v>248</v>
      </c>
      <c r="U16" s="48" t="s">
        <v>458</v>
      </c>
      <c r="V16" s="461" t="s">
        <v>211</v>
      </c>
      <c r="W16" s="479" t="s">
        <v>21</v>
      </c>
      <c r="X16" s="460" t="s">
        <v>119</v>
      </c>
      <c r="Y16" s="460">
        <f t="shared" si="3"/>
        <v>15</v>
      </c>
      <c r="Z16" s="480" t="s">
        <v>119</v>
      </c>
      <c r="AA16" s="460">
        <f t="shared" si="4"/>
        <v>15</v>
      </c>
      <c r="AB16" s="460" t="s">
        <v>119</v>
      </c>
      <c r="AC16" s="460">
        <f t="shared" si="5"/>
        <v>15</v>
      </c>
      <c r="AD16" s="460" t="s">
        <v>119</v>
      </c>
      <c r="AE16" s="460">
        <f t="shared" si="6"/>
        <v>15</v>
      </c>
      <c r="AF16" s="460" t="s">
        <v>119</v>
      </c>
      <c r="AG16" s="460">
        <f t="shared" si="7"/>
        <v>15</v>
      </c>
      <c r="AH16" s="460" t="s">
        <v>119</v>
      </c>
      <c r="AI16" s="460">
        <f t="shared" si="8"/>
        <v>15</v>
      </c>
      <c r="AJ16" s="460" t="s">
        <v>120</v>
      </c>
      <c r="AK16" s="462">
        <f t="shared" si="14"/>
        <v>10</v>
      </c>
      <c r="AL16" s="463">
        <f t="shared" ref="AL16:AL17" si="17">IF((SUM(Y16,AA16,AC16,AE16,AG16,AI16,AK16)=0),"",(SUM(Y16,AA16,AC16,AE16,AG16,AI16,AK16)))</f>
        <v>100</v>
      </c>
      <c r="AM16" s="463" t="str">
        <f t="shared" ref="AM16:AM17" si="18">IF(AL16&lt;=85,"Débil",IF(AL16&lt;=95,"Moderado",IF(AL16=100,"Fuerte","")))</f>
        <v>Fuerte</v>
      </c>
      <c r="AN16" s="465" t="s">
        <v>357</v>
      </c>
      <c r="AO16" s="106">
        <f>IFERROR(VLOOKUP(AN16,'[8]Seguridad Información'!$C$61:$D$63,2,0),"")</f>
        <v>20</v>
      </c>
      <c r="AP16" s="465" t="s">
        <v>350</v>
      </c>
      <c r="AQ16" s="106">
        <f>IFERROR(VLOOKUP(AP16,'[8]Seguridad Información'!$E$61:$F$64,2,0),"")</f>
        <v>100</v>
      </c>
      <c r="AR16" s="465" t="s">
        <v>355</v>
      </c>
      <c r="AS16" s="106">
        <f>IFERROR(VLOOKUP(AR16,'[8]Seguridad Información'!$G$61:$H$64,2,0),"")</f>
        <v>60</v>
      </c>
      <c r="AT16" s="465" t="s">
        <v>352</v>
      </c>
      <c r="AU16" s="474">
        <f>IFERROR(VLOOKUP(AT16,'[8]Seguridad Información'!$I$61:$J$65,2,0),"")</f>
        <v>100</v>
      </c>
      <c r="AV16" s="444"/>
      <c r="AW16" s="475">
        <f t="shared" si="15"/>
        <v>70</v>
      </c>
      <c r="AX16" s="463" t="str">
        <f t="shared" si="16"/>
        <v>Débil</v>
      </c>
      <c r="AY16" s="475" t="str">
        <f>IFERROR(VLOOKUP((CONCATENATE(AM16,AX16)),[8]Listados!$U$3:$V$11,2,FALSE),"")</f>
        <v>Débil</v>
      </c>
      <c r="AZ16" s="463">
        <f t="shared" ref="AZ16:AZ17" si="19">IF(ISBLANK(AY16),"",IF(AY16="Débil", 0, IF(AY16="Moderado",50,100)))</f>
        <v>0</v>
      </c>
      <c r="BA16" s="476">
        <f>AVERAGE(AZ16:AZ17)</f>
        <v>0</v>
      </c>
      <c r="BB16" s="476" t="str">
        <f>IF(BA16&lt;=50, "Débil", IF(BA16&lt;=99,"Moderado","Fuerte"))</f>
        <v>Débil</v>
      </c>
      <c r="BC16" s="477">
        <f>+IF(AND(W16="Preventivo",BB16="Fuerte"),2,IF(AND(W16="Preventivo",BB16="Moderado"),1,0))</f>
        <v>0</v>
      </c>
      <c r="BD16" s="477">
        <f>+IF(AND(W16="Detectivo/Correctivo",$BB16="Fuerte"),2,IF(AND(W16="Detectivo/Correctivo",$BB16="Moderado"),1,IF(AND(W16="Preventivo",$BB16="Fuerte"),1,0)))</f>
        <v>0</v>
      </c>
      <c r="BE16" s="477">
        <f>+N16-BC16</f>
        <v>1</v>
      </c>
      <c r="BF16" s="477">
        <f>+P16-BD16</f>
        <v>2</v>
      </c>
      <c r="BG16" s="459" t="str">
        <f>+VLOOKUP(MIN(BE16,BE17),[8]Listados!$J$18:$K$24,2,TRUE)</f>
        <v>Rara Vez</v>
      </c>
      <c r="BH16" s="459" t="str">
        <f>+VLOOKUP(MIN(BF16,BF17),[8]Listados!$J$26:$K$32,2,TRUE)</f>
        <v>Menor</v>
      </c>
      <c r="BI16" s="459" t="str">
        <f>IF(AND(BG16&lt;&gt;"",BH16&lt;&gt;""),VLOOKUP(BG16&amp;BH16,[8]Listados!$M$3:$N$27,2,FALSE),"")</f>
        <v>Bajo</v>
      </c>
      <c r="BJ16" s="469" t="str">
        <f>+IF($R16="Asumir el riesgo","NA","")</f>
        <v>NA</v>
      </c>
      <c r="BK16" s="469" t="str">
        <f>+IF($R16="Asumir el riesgo","NA","")</f>
        <v>NA</v>
      </c>
      <c r="BL16" s="469" t="str">
        <f>+IF($R16="Asumir el riesgo","NA","")</f>
        <v>NA</v>
      </c>
      <c r="BM16" s="300" t="str">
        <f>+IF($R16="Asumir el riesgo","NA","")</f>
        <v>NA</v>
      </c>
    </row>
    <row r="17" spans="1:65" ht="97.5" customHeight="1" thickBot="1">
      <c r="A17" s="355"/>
      <c r="B17" s="356"/>
      <c r="C17" s="308"/>
      <c r="D17" s="310"/>
      <c r="E17" s="120" t="s">
        <v>182</v>
      </c>
      <c r="F17" s="312"/>
      <c r="G17" s="312"/>
      <c r="H17" s="121" t="s">
        <v>191</v>
      </c>
      <c r="I17" s="122" t="s">
        <v>203</v>
      </c>
      <c r="J17" s="121" t="s">
        <v>211</v>
      </c>
      <c r="K17" s="123" t="s">
        <v>17</v>
      </c>
      <c r="L17" s="124" t="s">
        <v>215</v>
      </c>
      <c r="M17" s="314"/>
      <c r="N17" s="316"/>
      <c r="O17" s="318"/>
      <c r="P17" s="316"/>
      <c r="Q17" s="302"/>
      <c r="R17" s="302"/>
      <c r="S17" s="125" t="s">
        <v>221</v>
      </c>
      <c r="T17" s="125" t="s">
        <v>297</v>
      </c>
      <c r="U17" s="126" t="s">
        <v>478</v>
      </c>
      <c r="V17" s="126" t="s">
        <v>211</v>
      </c>
      <c r="W17" s="183" t="s">
        <v>21</v>
      </c>
      <c r="X17" s="125" t="s">
        <v>119</v>
      </c>
      <c r="Y17" s="125">
        <f t="shared" si="3"/>
        <v>15</v>
      </c>
      <c r="Z17" s="184" t="s">
        <v>119</v>
      </c>
      <c r="AA17" s="125">
        <f t="shared" si="4"/>
        <v>15</v>
      </c>
      <c r="AB17" s="125" t="s">
        <v>119</v>
      </c>
      <c r="AC17" s="125">
        <f t="shared" si="5"/>
        <v>15</v>
      </c>
      <c r="AD17" s="125" t="s">
        <v>119</v>
      </c>
      <c r="AE17" s="125">
        <f t="shared" si="6"/>
        <v>15</v>
      </c>
      <c r="AF17" s="125" t="s">
        <v>119</v>
      </c>
      <c r="AG17" s="125">
        <f t="shared" si="7"/>
        <v>15</v>
      </c>
      <c r="AH17" s="125" t="s">
        <v>119</v>
      </c>
      <c r="AI17" s="125">
        <f t="shared" si="8"/>
        <v>15</v>
      </c>
      <c r="AJ17" s="125" t="s">
        <v>120</v>
      </c>
      <c r="AK17" s="128">
        <f t="shared" si="14"/>
        <v>10</v>
      </c>
      <c r="AL17" s="129">
        <f t="shared" si="17"/>
        <v>100</v>
      </c>
      <c r="AM17" s="129" t="str">
        <f t="shared" si="18"/>
        <v>Fuerte</v>
      </c>
      <c r="AN17" s="148" t="s">
        <v>357</v>
      </c>
      <c r="AO17" s="185">
        <f>IFERROR(VLOOKUP(AN17,'[8]Seguridad Información'!$C$61:$D$63,2,0),"")</f>
        <v>20</v>
      </c>
      <c r="AP17" s="148" t="s">
        <v>350</v>
      </c>
      <c r="AQ17" s="185">
        <f>IFERROR(VLOOKUP(AP17,'[8]Seguridad Información'!$E$61:$F$64,2,0),"")</f>
        <v>100</v>
      </c>
      <c r="AR17" s="148" t="s">
        <v>351</v>
      </c>
      <c r="AS17" s="185">
        <f>IFERROR(VLOOKUP(AR17,'[8]Seguridad Información'!$G$61:$H$64,2,0),"")</f>
        <v>100</v>
      </c>
      <c r="AT17" s="148" t="s">
        <v>352</v>
      </c>
      <c r="AU17" s="133">
        <f>IFERROR(VLOOKUP(AT17,'[8]Seguridad Información'!$I$61:$J$65,2,0),"")</f>
        <v>100</v>
      </c>
      <c r="AV17" s="133"/>
      <c r="AW17" s="134">
        <f t="shared" si="15"/>
        <v>80</v>
      </c>
      <c r="AX17" s="129" t="str">
        <f t="shared" si="16"/>
        <v>Débil</v>
      </c>
      <c r="AY17" s="134" t="str">
        <f>IFERROR(VLOOKUP((CONCATENATE(AM17,AX17)),[8]Listados!$U$3:$V$11,2,FALSE),"")</f>
        <v>Débil</v>
      </c>
      <c r="AZ17" s="129">
        <f t="shared" si="19"/>
        <v>0</v>
      </c>
      <c r="BA17" s="324"/>
      <c r="BB17" s="324"/>
      <c r="BC17" s="135">
        <f>+IF(AND(W17="Preventivo",BB16="Fuerte"),2,IF(AND(W17="Preventivo",BB16="Moderado"),1,0))</f>
        <v>0</v>
      </c>
      <c r="BD17" s="135">
        <f>+IF(AND(W17="Detectivo/Correctivo",$BB16="Fuerte"),2,IF(AND(W17="Detectivo/Correctivo",$BB17="Moderado"),1,IF(AND(W17="Preventivo",$BB16="Fuerte"),1,0)))</f>
        <v>0</v>
      </c>
      <c r="BE17" s="135">
        <f>+N16-BC17</f>
        <v>1</v>
      </c>
      <c r="BF17" s="135">
        <f>+P16-BD17</f>
        <v>2</v>
      </c>
      <c r="BG17" s="302"/>
      <c r="BH17" s="302"/>
      <c r="BI17" s="302"/>
      <c r="BJ17" s="303"/>
      <c r="BK17" s="303"/>
      <c r="BL17" s="303"/>
      <c r="BM17" s="306"/>
    </row>
    <row r="18" spans="1:65" ht="99" customHeight="1">
      <c r="A18" s="319">
        <v>1</v>
      </c>
      <c r="B18" s="313" t="s">
        <v>107</v>
      </c>
      <c r="C18" s="307" t="str">
        <f>IFERROR(VLOOKUP(B18,[8]Listados!B$3:C$20,2,FALSE),"")</f>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
      <c r="D18" s="309" t="s">
        <v>473</v>
      </c>
      <c r="E18" s="107" t="s">
        <v>181</v>
      </c>
      <c r="F18" s="311" t="s">
        <v>181</v>
      </c>
      <c r="G18" s="311" t="s">
        <v>198</v>
      </c>
      <c r="H18" s="108" t="s">
        <v>184</v>
      </c>
      <c r="I18" s="108" t="s">
        <v>202</v>
      </c>
      <c r="J18" s="108" t="s">
        <v>474</v>
      </c>
      <c r="K18" s="109" t="s">
        <v>17</v>
      </c>
      <c r="L18" s="109" t="s">
        <v>215</v>
      </c>
      <c r="M18" s="313" t="s">
        <v>22</v>
      </c>
      <c r="N18" s="315">
        <f>+VLOOKUP(M18,[8]Listados!$K$8:$L$12,2,0)</f>
        <v>1</v>
      </c>
      <c r="O18" s="317" t="s">
        <v>33</v>
      </c>
      <c r="P18" s="315">
        <f>+VLOOKUP(O18,[8]Listados!$K$13:$L$17,2,0)</f>
        <v>2</v>
      </c>
      <c r="Q18" s="297" t="str">
        <f>IF(AND(M18&lt;&gt;"",O18&lt;&gt;""),VLOOKUP(M18&amp;O18,[8]Listados!$M$3:$N$27,2,FALSE),"")</f>
        <v>Bajo</v>
      </c>
      <c r="R18" s="297" t="str">
        <f>+VLOOKUP(Q18,[8]Listados!$P$3:$Q$6,2,FALSE)</f>
        <v>Asumir el riesgo</v>
      </c>
      <c r="S18" s="110" t="s">
        <v>224</v>
      </c>
      <c r="T18" s="110" t="s">
        <v>276</v>
      </c>
      <c r="U18" s="111" t="s">
        <v>475</v>
      </c>
      <c r="V18" s="111" t="s">
        <v>474</v>
      </c>
      <c r="W18" s="112" t="s">
        <v>21</v>
      </c>
      <c r="X18" s="110" t="s">
        <v>119</v>
      </c>
      <c r="Y18" s="110">
        <f t="shared" si="3"/>
        <v>15</v>
      </c>
      <c r="Z18" s="110" t="s">
        <v>119</v>
      </c>
      <c r="AA18" s="110">
        <f t="shared" si="4"/>
        <v>15</v>
      </c>
      <c r="AB18" s="110" t="s">
        <v>119</v>
      </c>
      <c r="AC18" s="110">
        <f t="shared" si="5"/>
        <v>15</v>
      </c>
      <c r="AD18" s="110" t="s">
        <v>119</v>
      </c>
      <c r="AE18" s="110">
        <f t="shared" si="6"/>
        <v>15</v>
      </c>
      <c r="AF18" s="110" t="s">
        <v>119</v>
      </c>
      <c r="AG18" s="110">
        <f t="shared" si="7"/>
        <v>15</v>
      </c>
      <c r="AH18" s="110" t="s">
        <v>119</v>
      </c>
      <c r="AI18" s="110">
        <f t="shared" si="8"/>
        <v>15</v>
      </c>
      <c r="AJ18" s="110" t="s">
        <v>120</v>
      </c>
      <c r="AK18" s="113">
        <f>+IF(AJ18="Completa",10,IF(AJ18="Incompleta",5,""))</f>
        <v>10</v>
      </c>
      <c r="AL18" s="114">
        <f>IF((SUM(Y18,AA18,AC18,AE18,AG18,AI18,AK18)=0),"",(SUM(Y18,AA18,AC18,AE18,AG18,AI18,AK18)))</f>
        <v>100</v>
      </c>
      <c r="AM18" s="114" t="str">
        <f>IF(AL18&lt;=85,"Débil",IF(AL18&lt;=95,"Moderado",IF(AL18=100,"Fuerte","")))</f>
        <v>Fuerte</v>
      </c>
      <c r="AN18" s="140" t="s">
        <v>353</v>
      </c>
      <c r="AO18" s="140">
        <f>IFERROR(VLOOKUP(AN18,'[8]Seguridad Información'!$C$61:$D$63,2,0),"")</f>
        <v>60</v>
      </c>
      <c r="AP18" s="140" t="s">
        <v>350</v>
      </c>
      <c r="AQ18" s="140">
        <f>IFERROR(VLOOKUP(AP18,'[8]Seguridad Información'!$E$61:$F$64,2,0),"")</f>
        <v>100</v>
      </c>
      <c r="AR18" s="140" t="s">
        <v>355</v>
      </c>
      <c r="AS18" s="140">
        <f>IFERROR(VLOOKUP(AR18,'[8]Seguridad Información'!$G$61:$H$64,2,0),"")</f>
        <v>60</v>
      </c>
      <c r="AT18" s="140" t="s">
        <v>352</v>
      </c>
      <c r="AU18" s="182">
        <f>IFERROR(VLOOKUP(AT18,'[8]Seguridad Información'!$I$61:$J$65,2,0),"")</f>
        <v>100</v>
      </c>
      <c r="AV18" s="117"/>
      <c r="AW18" s="118">
        <f>IFERROR(AVERAGE(AO18,AQ18,AS18,AU18),"")</f>
        <v>80</v>
      </c>
      <c r="AX18" s="114" t="str">
        <f>IF(AW18&lt;=80,"Débil",IF(AW18&lt;=90,"Moderado",IF(AW18=100,"Fuerte","")))</f>
        <v>Débil</v>
      </c>
      <c r="AY18" s="118" t="str">
        <f>IFERROR(VLOOKUP((CONCATENATE(AM18,AX18)),[8]Listados!$U$3:$V$11,2,FALSE),"")</f>
        <v>Débil</v>
      </c>
      <c r="AZ18" s="114">
        <f>IF(ISBLANK(AY18),"",IF(AY18="Débil", 0, IF(AY18="Moderado",50,100)))</f>
        <v>0</v>
      </c>
      <c r="BA18" s="323">
        <f>AVERAGE(AZ18:AZ19)</f>
        <v>0</v>
      </c>
      <c r="BB18" s="323" t="str">
        <f>IF(BA18&lt;=50, "Débil", IF(BA18&lt;=99,"Moderado","Fuerte"))</f>
        <v>Débil</v>
      </c>
      <c r="BC18" s="119">
        <f>+IF(AND(W18="Preventivo",BB18="Fuerte"),2,IF(AND(W18="Preventivo",BB18="Moderado"),1,0))</f>
        <v>0</v>
      </c>
      <c r="BD18" s="119">
        <f>+IF(AND(W18="Detectivo/Correctivo",$BB18="Fuerte"),2,IF(AND(W18="Detectivo/Correctivo",$BB18="Moderado"),1,IF(AND(W18="Preventivo",$BB18="Fuerte"),1,0)))</f>
        <v>0</v>
      </c>
      <c r="BE18" s="119">
        <f>+N18-BC18</f>
        <v>1</v>
      </c>
      <c r="BF18" s="119">
        <f>+P18-BD18</f>
        <v>2</v>
      </c>
      <c r="BG18" s="297" t="str">
        <f>+VLOOKUP(MIN(BE18,BE19),[8]Listados!$J$18:$K$24,2,TRUE)</f>
        <v>Rara Vez</v>
      </c>
      <c r="BH18" s="297" t="str">
        <f>+VLOOKUP(MIN(BF18,BF19),[8]Listados!$J$26:$K$32,2,TRUE)</f>
        <v>Menor</v>
      </c>
      <c r="BI18" s="297" t="str">
        <f>IF(AND(BG18&lt;&gt;"",BH18&lt;&gt;""),VLOOKUP(BG18&amp;BH18,[8]Listados!$M$3:$N$27,2,FALSE),"")</f>
        <v>Bajo</v>
      </c>
      <c r="BJ18" s="298" t="str">
        <f>+IF($R18="Asumir el riesgo","NA","")</f>
        <v>NA</v>
      </c>
      <c r="BK18" s="298" t="str">
        <f>+IF($R18="Asumir el riesgo","NA","")</f>
        <v>NA</v>
      </c>
      <c r="BL18" s="298" t="str">
        <f>+IF($R18="Asumir el riesgo","NA","")</f>
        <v>NA</v>
      </c>
      <c r="BM18" s="305" t="str">
        <f>+IF($R18="Asumir el riesgo","NA","")</f>
        <v>NA</v>
      </c>
    </row>
    <row r="19" spans="1:65" ht="95.25" customHeight="1">
      <c r="A19" s="320"/>
      <c r="B19" s="455"/>
      <c r="C19" s="470"/>
      <c r="D19" s="321"/>
      <c r="E19" s="40" t="s">
        <v>180</v>
      </c>
      <c r="F19" s="452"/>
      <c r="G19" s="452"/>
      <c r="H19" s="471" t="s">
        <v>186</v>
      </c>
      <c r="I19" s="22" t="s">
        <v>201</v>
      </c>
      <c r="J19" s="471" t="s">
        <v>210</v>
      </c>
      <c r="K19" s="472" t="s">
        <v>17</v>
      </c>
      <c r="L19" s="23" t="s">
        <v>214</v>
      </c>
      <c r="M19" s="455"/>
      <c r="N19" s="456"/>
      <c r="O19" s="457"/>
      <c r="P19" s="456"/>
      <c r="Q19" s="459"/>
      <c r="R19" s="459"/>
      <c r="S19" s="460" t="s">
        <v>224</v>
      </c>
      <c r="T19" s="460" t="s">
        <v>252</v>
      </c>
      <c r="U19" s="461" t="s">
        <v>476</v>
      </c>
      <c r="V19" s="461" t="s">
        <v>210</v>
      </c>
      <c r="W19" s="473" t="s">
        <v>21</v>
      </c>
      <c r="X19" s="460" t="s">
        <v>119</v>
      </c>
      <c r="Y19" s="460">
        <f t="shared" si="3"/>
        <v>15</v>
      </c>
      <c r="Z19" s="460" t="s">
        <v>119</v>
      </c>
      <c r="AA19" s="460">
        <f t="shared" si="4"/>
        <v>15</v>
      </c>
      <c r="AB19" s="460" t="s">
        <v>119</v>
      </c>
      <c r="AC19" s="460">
        <f t="shared" si="5"/>
        <v>15</v>
      </c>
      <c r="AD19" s="460" t="s">
        <v>119</v>
      </c>
      <c r="AE19" s="460">
        <f t="shared" si="6"/>
        <v>15</v>
      </c>
      <c r="AF19" s="460" t="s">
        <v>119</v>
      </c>
      <c r="AG19" s="460">
        <f t="shared" si="7"/>
        <v>15</v>
      </c>
      <c r="AH19" s="460" t="s">
        <v>119</v>
      </c>
      <c r="AI19" s="460">
        <f t="shared" si="8"/>
        <v>15</v>
      </c>
      <c r="AJ19" s="460" t="s">
        <v>120</v>
      </c>
      <c r="AK19" s="462">
        <f t="shared" ref="AK19:AK21" si="20">+IF(AJ19="Completa",10,IF(AJ19="Incompleta",5,""))</f>
        <v>10</v>
      </c>
      <c r="AL19" s="463">
        <f>IF((SUM(Y19,AA19,AC19,AE19,AG19,AI19,AK19)=0),"",(SUM(Y19,AA19,AC19,AE19,AG19,AI19,AK19)))</f>
        <v>100</v>
      </c>
      <c r="AM19" s="463" t="str">
        <f>IF(AL19&lt;=85,"Débil",IF(AL19&lt;=95,"Moderado",IF(AL19=100,"Fuerte","")))</f>
        <v>Fuerte</v>
      </c>
      <c r="AN19" s="465" t="s">
        <v>357</v>
      </c>
      <c r="AO19" s="106">
        <f>IFERROR(VLOOKUP(AN19,'[8]Seguridad Información'!$C$61:$D$63,2,0),"")</f>
        <v>20</v>
      </c>
      <c r="AP19" s="465" t="s">
        <v>350</v>
      </c>
      <c r="AQ19" s="106">
        <f>IFERROR(VLOOKUP(AP19,'[8]Seguridad Información'!$E$61:$F$64,2,0),"")</f>
        <v>100</v>
      </c>
      <c r="AR19" s="465" t="s">
        <v>355</v>
      </c>
      <c r="AS19" s="106">
        <f>IFERROR(VLOOKUP(AR19,'[8]Seguridad Información'!$G$61:$H$64,2,0),"")</f>
        <v>60</v>
      </c>
      <c r="AT19" s="465" t="s">
        <v>352</v>
      </c>
      <c r="AU19" s="474">
        <f>IFERROR(VLOOKUP(AT19,'[8]Seguridad Información'!$I$61:$J$65,2,0),"")</f>
        <v>100</v>
      </c>
      <c r="AV19" s="444"/>
      <c r="AW19" s="475">
        <f t="shared" ref="AW19:AW21" si="21">IFERROR(AVERAGE(AO19,AQ19,AS19,AU19),"")</f>
        <v>70</v>
      </c>
      <c r="AX19" s="463" t="str">
        <f t="shared" ref="AX19:AX21" si="22">IF(AW19&lt;=80,"Débil",IF(AW19&lt;=90,"Moderado",IF(AW19=100,"Fuerte","")))</f>
        <v>Débil</v>
      </c>
      <c r="AY19" s="475" t="str">
        <f>IFERROR(VLOOKUP((CONCATENATE(AM19,AX19)),[8]Listados!$U$3:$V$11,2,FALSE),"")</f>
        <v>Débil</v>
      </c>
      <c r="AZ19" s="463">
        <f>IF(ISBLANK(AY19),"",IF(AY19="Débil", 0, IF(AY19="Moderado",50,100)))</f>
        <v>0</v>
      </c>
      <c r="BA19" s="476"/>
      <c r="BB19" s="476"/>
      <c r="BC19" s="477">
        <f>+IF(AND(W19="Preventivo",BB18="Fuerte"),2,IF(AND(W19="Preventivo",BB18="Moderado"),1,0))</f>
        <v>0</v>
      </c>
      <c r="BD19" s="477">
        <f>+IF(AND(W19="Detectivo/Correctivo",$BB18="Fuerte"),2,IF(AND(W19="Detectivo/Correctivo",$BB19="Moderado"),1,IF(AND(W19="Preventivo",$BB18="Fuerte"),1,0)))</f>
        <v>0</v>
      </c>
      <c r="BE19" s="477">
        <f>+N18-BC19</f>
        <v>1</v>
      </c>
      <c r="BF19" s="477">
        <f>+P18-BD19</f>
        <v>2</v>
      </c>
      <c r="BG19" s="459"/>
      <c r="BH19" s="459"/>
      <c r="BI19" s="459"/>
      <c r="BJ19" s="469"/>
      <c r="BK19" s="469"/>
      <c r="BL19" s="469"/>
      <c r="BM19" s="300"/>
    </row>
    <row r="20" spans="1:65" ht="77.25" customHeight="1">
      <c r="A20" s="320">
        <v>2</v>
      </c>
      <c r="B20" s="478" t="s">
        <v>107</v>
      </c>
      <c r="C20" s="470" t="str">
        <f>IFERROR(VLOOKUP(B20,[8]Listados!B$3:C$20,2,FALSE),"")</f>
        <v>Evaluar la objetividad, cumplimiento y efectividad del Sistema Integrado de Gestión del Ministerio de Justicia y del Derecho, en función de los roles relacionados con la evaluación y seguimiento, gestión del riesgo, liderazgo estratégico, enfoque hacia la prevención y relación con entes externos, que de forma razonable y transparente, le permita alcanzar la eficiencia y eficacia en la consecución de los objetivos y metas asociadas a la planeación estratégica, toma de decisiones asertivas y mejora continua para el cumplimiento de las disposiciones normativas y estándares internacionales.</v>
      </c>
      <c r="D20" s="357" t="s">
        <v>477</v>
      </c>
      <c r="E20" s="40" t="s">
        <v>182</v>
      </c>
      <c r="F20" s="452" t="s">
        <v>182</v>
      </c>
      <c r="G20" s="358" t="s">
        <v>199</v>
      </c>
      <c r="H20" s="471" t="s">
        <v>188</v>
      </c>
      <c r="I20" s="22" t="s">
        <v>203</v>
      </c>
      <c r="J20" s="471" t="s">
        <v>211</v>
      </c>
      <c r="K20" s="472" t="s">
        <v>17</v>
      </c>
      <c r="L20" s="23" t="s">
        <v>215</v>
      </c>
      <c r="M20" s="455" t="s">
        <v>22</v>
      </c>
      <c r="N20" s="456">
        <f>+VLOOKUP(M20,[8]Listados!$K$8:$L$12,2,0)</f>
        <v>1</v>
      </c>
      <c r="O20" s="457" t="s">
        <v>33</v>
      </c>
      <c r="P20" s="456">
        <f>+VLOOKUP(O20,[8]Listados!$K$13:$L$17,2,0)</f>
        <v>2</v>
      </c>
      <c r="Q20" s="459" t="str">
        <f>IF(AND(M20&lt;&gt;"",O20&lt;&gt;""),VLOOKUP(M20&amp;O20,[8]Listados!$M$3:$N$27,2,FALSE),"")</f>
        <v>Bajo</v>
      </c>
      <c r="R20" s="459" t="str">
        <f>+VLOOKUP(Q20,[8]Listados!$P$3:$Q$6,2,FALSE)</f>
        <v>Asumir el riesgo</v>
      </c>
      <c r="S20" s="460" t="s">
        <v>220</v>
      </c>
      <c r="T20" s="460" t="s">
        <v>248</v>
      </c>
      <c r="U20" s="48" t="s">
        <v>458</v>
      </c>
      <c r="V20" s="461" t="s">
        <v>211</v>
      </c>
      <c r="W20" s="479" t="s">
        <v>21</v>
      </c>
      <c r="X20" s="460" t="s">
        <v>119</v>
      </c>
      <c r="Y20" s="460">
        <f t="shared" si="3"/>
        <v>15</v>
      </c>
      <c r="Z20" s="480" t="s">
        <v>119</v>
      </c>
      <c r="AA20" s="460">
        <f t="shared" si="4"/>
        <v>15</v>
      </c>
      <c r="AB20" s="460" t="s">
        <v>119</v>
      </c>
      <c r="AC20" s="460">
        <f t="shared" si="5"/>
        <v>15</v>
      </c>
      <c r="AD20" s="460" t="s">
        <v>119</v>
      </c>
      <c r="AE20" s="460">
        <f t="shared" si="6"/>
        <v>15</v>
      </c>
      <c r="AF20" s="460" t="s">
        <v>119</v>
      </c>
      <c r="AG20" s="460">
        <f t="shared" si="7"/>
        <v>15</v>
      </c>
      <c r="AH20" s="460" t="s">
        <v>119</v>
      </c>
      <c r="AI20" s="460">
        <f t="shared" si="8"/>
        <v>15</v>
      </c>
      <c r="AJ20" s="460" t="s">
        <v>120</v>
      </c>
      <c r="AK20" s="462">
        <f t="shared" si="20"/>
        <v>10</v>
      </c>
      <c r="AL20" s="463">
        <f t="shared" ref="AL20:AL21" si="23">IF((SUM(Y20,AA20,AC20,AE20,AG20,AI20,AK20)=0),"",(SUM(Y20,AA20,AC20,AE20,AG20,AI20,AK20)))</f>
        <v>100</v>
      </c>
      <c r="AM20" s="463" t="str">
        <f t="shared" ref="AM20:AM21" si="24">IF(AL20&lt;=85,"Débil",IF(AL20&lt;=95,"Moderado",IF(AL20=100,"Fuerte","")))</f>
        <v>Fuerte</v>
      </c>
      <c r="AN20" s="465" t="s">
        <v>357</v>
      </c>
      <c r="AO20" s="106">
        <f>IFERROR(VLOOKUP(AN20,'[8]Seguridad Información'!$C$61:$D$63,2,0),"")</f>
        <v>20</v>
      </c>
      <c r="AP20" s="465" t="s">
        <v>350</v>
      </c>
      <c r="AQ20" s="106">
        <f>IFERROR(VLOOKUP(AP20,'[8]Seguridad Información'!$E$61:$F$64,2,0),"")</f>
        <v>100</v>
      </c>
      <c r="AR20" s="465" t="s">
        <v>355</v>
      </c>
      <c r="AS20" s="106">
        <f>IFERROR(VLOOKUP(AR20,'[8]Seguridad Información'!$G$61:$H$64,2,0),"")</f>
        <v>60</v>
      </c>
      <c r="AT20" s="465" t="s">
        <v>352</v>
      </c>
      <c r="AU20" s="474">
        <f>IFERROR(VLOOKUP(AT20,'[8]Seguridad Información'!$I$61:$J$65,2,0),"")</f>
        <v>100</v>
      </c>
      <c r="AV20" s="444"/>
      <c r="AW20" s="475">
        <f t="shared" si="21"/>
        <v>70</v>
      </c>
      <c r="AX20" s="463" t="str">
        <f t="shared" si="22"/>
        <v>Débil</v>
      </c>
      <c r="AY20" s="475" t="str">
        <f>IFERROR(VLOOKUP((CONCATENATE(AM20,AX20)),[8]Listados!$U$3:$V$11,2,FALSE),"")</f>
        <v>Débil</v>
      </c>
      <c r="AZ20" s="463">
        <f t="shared" ref="AZ20:AZ21" si="25">IF(ISBLANK(AY20),"",IF(AY20="Débil", 0, IF(AY20="Moderado",50,100)))</f>
        <v>0</v>
      </c>
      <c r="BA20" s="476">
        <f>AVERAGE(AZ20:AZ21)</f>
        <v>0</v>
      </c>
      <c r="BB20" s="476" t="str">
        <f>IF(BA20&lt;=50, "Débil", IF(BA20&lt;=99,"Moderado","Fuerte"))</f>
        <v>Débil</v>
      </c>
      <c r="BC20" s="477">
        <f>+IF(AND(W20="Preventivo",BB20="Fuerte"),2,IF(AND(W20="Preventivo",BB20="Moderado"),1,0))</f>
        <v>0</v>
      </c>
      <c r="BD20" s="477">
        <f>+IF(AND(W20="Detectivo/Correctivo",$BB20="Fuerte"),2,IF(AND(W20="Detectivo/Correctivo",$BB20="Moderado"),1,IF(AND(W20="Preventivo",$BB20="Fuerte"),1,0)))</f>
        <v>0</v>
      </c>
      <c r="BE20" s="477">
        <f>+N20-BC20</f>
        <v>1</v>
      </c>
      <c r="BF20" s="477">
        <f>+P20-BD20</f>
        <v>2</v>
      </c>
      <c r="BG20" s="459" t="str">
        <f>+VLOOKUP(MIN(BE20,BE21),[8]Listados!$J$18:$K$24,2,TRUE)</f>
        <v>Rara Vez</v>
      </c>
      <c r="BH20" s="459" t="str">
        <f>+VLOOKUP(MIN(BF20,BF21),[8]Listados!$J$26:$K$32,2,TRUE)</f>
        <v>Menor</v>
      </c>
      <c r="BI20" s="459" t="str">
        <f>IF(AND(BG20&lt;&gt;"",BH20&lt;&gt;""),VLOOKUP(BG20&amp;BH20,[8]Listados!$M$3:$N$27,2,FALSE),"")</f>
        <v>Bajo</v>
      </c>
      <c r="BJ20" s="469" t="str">
        <f>+IF($R20="Asumir el riesgo","NA","")</f>
        <v>NA</v>
      </c>
      <c r="BK20" s="469" t="str">
        <f>+IF($R20="Asumir el riesgo","NA","")</f>
        <v>NA</v>
      </c>
      <c r="BL20" s="469" t="str">
        <f>+IF($R20="Asumir el riesgo","NA","")</f>
        <v>NA</v>
      </c>
      <c r="BM20" s="300" t="str">
        <f>+IF($R20="Asumir el riesgo","NA","")</f>
        <v>NA</v>
      </c>
    </row>
    <row r="21" spans="1:65" ht="97.5" customHeight="1" thickBot="1">
      <c r="A21" s="355"/>
      <c r="B21" s="356"/>
      <c r="C21" s="308"/>
      <c r="D21" s="310"/>
      <c r="E21" s="120" t="s">
        <v>182</v>
      </c>
      <c r="F21" s="312"/>
      <c r="G21" s="312"/>
      <c r="H21" s="121" t="s">
        <v>191</v>
      </c>
      <c r="I21" s="122" t="s">
        <v>203</v>
      </c>
      <c r="J21" s="121" t="s">
        <v>211</v>
      </c>
      <c r="K21" s="123" t="s">
        <v>17</v>
      </c>
      <c r="L21" s="124" t="s">
        <v>215</v>
      </c>
      <c r="M21" s="314"/>
      <c r="N21" s="316"/>
      <c r="O21" s="318"/>
      <c r="P21" s="316"/>
      <c r="Q21" s="302"/>
      <c r="R21" s="302"/>
      <c r="S21" s="125" t="s">
        <v>221</v>
      </c>
      <c r="T21" s="125" t="s">
        <v>297</v>
      </c>
      <c r="U21" s="126" t="s">
        <v>478</v>
      </c>
      <c r="V21" s="126" t="s">
        <v>211</v>
      </c>
      <c r="W21" s="183" t="s">
        <v>21</v>
      </c>
      <c r="X21" s="125" t="s">
        <v>119</v>
      </c>
      <c r="Y21" s="125">
        <f t="shared" si="3"/>
        <v>15</v>
      </c>
      <c r="Z21" s="184" t="s">
        <v>119</v>
      </c>
      <c r="AA21" s="125">
        <f t="shared" si="4"/>
        <v>15</v>
      </c>
      <c r="AB21" s="125" t="s">
        <v>119</v>
      </c>
      <c r="AC21" s="125">
        <f t="shared" si="5"/>
        <v>15</v>
      </c>
      <c r="AD21" s="125" t="s">
        <v>119</v>
      </c>
      <c r="AE21" s="125">
        <f t="shared" si="6"/>
        <v>15</v>
      </c>
      <c r="AF21" s="125" t="s">
        <v>119</v>
      </c>
      <c r="AG21" s="125">
        <f t="shared" si="7"/>
        <v>15</v>
      </c>
      <c r="AH21" s="125" t="s">
        <v>119</v>
      </c>
      <c r="AI21" s="125">
        <f t="shared" si="8"/>
        <v>15</v>
      </c>
      <c r="AJ21" s="125" t="s">
        <v>120</v>
      </c>
      <c r="AK21" s="128">
        <f t="shared" si="20"/>
        <v>10</v>
      </c>
      <c r="AL21" s="129">
        <f t="shared" si="23"/>
        <v>100</v>
      </c>
      <c r="AM21" s="129" t="str">
        <f t="shared" si="24"/>
        <v>Fuerte</v>
      </c>
      <c r="AN21" s="148" t="s">
        <v>357</v>
      </c>
      <c r="AO21" s="185">
        <f>IFERROR(VLOOKUP(AN21,'[8]Seguridad Información'!$C$61:$D$63,2,0),"")</f>
        <v>20</v>
      </c>
      <c r="AP21" s="148" t="s">
        <v>350</v>
      </c>
      <c r="AQ21" s="185">
        <f>IFERROR(VLOOKUP(AP21,'[8]Seguridad Información'!$E$61:$F$64,2,0),"")</f>
        <v>100</v>
      </c>
      <c r="AR21" s="148" t="s">
        <v>351</v>
      </c>
      <c r="AS21" s="185">
        <f>IFERROR(VLOOKUP(AR21,'[8]Seguridad Información'!$G$61:$H$64,2,0),"")</f>
        <v>100</v>
      </c>
      <c r="AT21" s="148" t="s">
        <v>352</v>
      </c>
      <c r="AU21" s="133">
        <f>IFERROR(VLOOKUP(AT21,'[8]Seguridad Información'!$I$61:$J$65,2,0),"")</f>
        <v>100</v>
      </c>
      <c r="AV21" s="133"/>
      <c r="AW21" s="134">
        <f t="shared" si="21"/>
        <v>80</v>
      </c>
      <c r="AX21" s="129" t="str">
        <f t="shared" si="22"/>
        <v>Débil</v>
      </c>
      <c r="AY21" s="134" t="str">
        <f>IFERROR(VLOOKUP((CONCATENATE(AM21,AX21)),[8]Listados!$U$3:$V$11,2,FALSE),"")</f>
        <v>Débil</v>
      </c>
      <c r="AZ21" s="129">
        <f t="shared" si="25"/>
        <v>0</v>
      </c>
      <c r="BA21" s="324"/>
      <c r="BB21" s="324"/>
      <c r="BC21" s="135">
        <f>+IF(AND(W21="Preventivo",BB20="Fuerte"),2,IF(AND(W21="Preventivo",BB20="Moderado"),1,0))</f>
        <v>0</v>
      </c>
      <c r="BD21" s="135">
        <f>+IF(AND(W21="Detectivo/Correctivo",$BB20="Fuerte"),2,IF(AND(W21="Detectivo/Correctivo",$BB21="Moderado"),1,IF(AND(W21="Preventivo",$BB20="Fuerte"),1,0)))</f>
        <v>0</v>
      </c>
      <c r="BE21" s="135">
        <f>+N20-BC21</f>
        <v>1</v>
      </c>
      <c r="BF21" s="135">
        <f>+P20-BD21</f>
        <v>2</v>
      </c>
      <c r="BG21" s="302"/>
      <c r="BH21" s="302"/>
      <c r="BI21" s="302"/>
      <c r="BJ21" s="303"/>
      <c r="BK21" s="303"/>
      <c r="BL21" s="303"/>
      <c r="BM21" s="306"/>
    </row>
    <row r="22" spans="1:65" ht="102">
      <c r="A22" s="319">
        <v>1</v>
      </c>
      <c r="B22" s="313" t="s">
        <v>79</v>
      </c>
      <c r="C22" s="307" t="str">
        <f>IFERROR(VLOOKUP(B22,[9]Listados!B$3:C$20,2,FALSE),"")</f>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
      <c r="D22" s="309" t="s">
        <v>479</v>
      </c>
      <c r="E22" s="107" t="s">
        <v>181</v>
      </c>
      <c r="F22" s="311" t="s">
        <v>181</v>
      </c>
      <c r="G22" s="311" t="s">
        <v>198</v>
      </c>
      <c r="H22" s="108" t="s">
        <v>184</v>
      </c>
      <c r="I22" s="108" t="s">
        <v>202</v>
      </c>
      <c r="J22" s="108" t="s">
        <v>474</v>
      </c>
      <c r="K22" s="109" t="s">
        <v>17</v>
      </c>
      <c r="L22" s="109" t="s">
        <v>214</v>
      </c>
      <c r="M22" s="313" t="s">
        <v>54</v>
      </c>
      <c r="N22" s="315">
        <f>+VLOOKUP(M22,[9]Listados!$K$8:$L$12,2,0)</f>
        <v>4</v>
      </c>
      <c r="O22" s="317" t="s">
        <v>55</v>
      </c>
      <c r="P22" s="315">
        <f>+VLOOKUP(O22,[9]Listados!$K$13:$L$17,2,0)</f>
        <v>4</v>
      </c>
      <c r="Q22" s="297" t="str">
        <f>IF(AND(M22&lt;&gt;"",O22&lt;&gt;""),VLOOKUP(M22&amp;O22,[9]Listados!$M$3:$N$27,2,FALSE),"")</f>
        <v>Extremo</v>
      </c>
      <c r="R22" s="297" t="str">
        <f>+VLOOKUP(Q22,[9]Listados!$P$3:$Q$6,2,FALSE)</f>
        <v>Evitar el riesgo</v>
      </c>
      <c r="S22" s="110" t="s">
        <v>224</v>
      </c>
      <c r="T22" s="110" t="s">
        <v>276</v>
      </c>
      <c r="U22" s="111" t="s">
        <v>480</v>
      </c>
      <c r="V22" s="111" t="s">
        <v>474</v>
      </c>
      <c r="W22" s="112" t="s">
        <v>21</v>
      </c>
      <c r="X22" s="110" t="s">
        <v>119</v>
      </c>
      <c r="Y22" s="110">
        <f t="shared" si="3"/>
        <v>15</v>
      </c>
      <c r="Z22" s="110" t="s">
        <v>119</v>
      </c>
      <c r="AA22" s="110">
        <f t="shared" si="4"/>
        <v>15</v>
      </c>
      <c r="AB22" s="110" t="s">
        <v>119</v>
      </c>
      <c r="AC22" s="110">
        <f t="shared" si="5"/>
        <v>15</v>
      </c>
      <c r="AD22" s="110" t="s">
        <v>123</v>
      </c>
      <c r="AE22" s="110" t="str">
        <f t="shared" si="6"/>
        <v/>
      </c>
      <c r="AF22" s="110" t="s">
        <v>119</v>
      </c>
      <c r="AG22" s="110">
        <f t="shared" si="7"/>
        <v>15</v>
      </c>
      <c r="AH22" s="110" t="s">
        <v>119</v>
      </c>
      <c r="AI22" s="110">
        <f t="shared" si="8"/>
        <v>15</v>
      </c>
      <c r="AJ22" s="110" t="s">
        <v>120</v>
      </c>
      <c r="AK22" s="113">
        <f>+IF(AJ22="Completa",10,IF(AJ22="Incompleta",5,""))</f>
        <v>10</v>
      </c>
      <c r="AL22" s="114">
        <f>IF((SUM(Y22,AA22,AC22,AE22,AG22,AI22,AK22)=0),"",(SUM(Y22,AA22,AC22,AE22,AG22,AI22,AK22)))</f>
        <v>85</v>
      </c>
      <c r="AM22" s="114" t="str">
        <f>IF(AL22&lt;=85,"Débil",IF(AL22&lt;=95,"Moderado",IF(AL22=100,"Fuerte","")))</f>
        <v>Débil</v>
      </c>
      <c r="AN22" s="140" t="s">
        <v>357</v>
      </c>
      <c r="AO22" s="140">
        <f>IFERROR(VLOOKUP(AN22,'[9]Seguridad Información'!$C$61:$D$63,2,0),"")</f>
        <v>20</v>
      </c>
      <c r="AP22" s="140" t="s">
        <v>350</v>
      </c>
      <c r="AQ22" s="140">
        <f>IFERROR(VLOOKUP(AP22,'[9]Seguridad Información'!$E$61:$F$64,2,0),"")</f>
        <v>100</v>
      </c>
      <c r="AR22" s="140" t="s">
        <v>355</v>
      </c>
      <c r="AS22" s="140">
        <f>IFERROR(VLOOKUP(AR22,'[9]Seguridad Información'!$G$61:$H$64,2,0),"")</f>
        <v>60</v>
      </c>
      <c r="AT22" s="140" t="s">
        <v>356</v>
      </c>
      <c r="AU22" s="117">
        <f>IFERROR(VLOOKUP(AT22,'[9]Seguridad Información'!$I$61:$J$65,2,0),"")</f>
        <v>60</v>
      </c>
      <c r="AV22" s="117"/>
      <c r="AW22" s="118">
        <f>IFERROR(AVERAGE(AO22,AQ22,AS22,AU22),"")</f>
        <v>60</v>
      </c>
      <c r="AX22" s="114" t="str">
        <f>IF(AW22&lt;=80,"Débil",IF(AW22&lt;=90,"Moderado",IF(AW22=100,"Fuerte","")))</f>
        <v>Débil</v>
      </c>
      <c r="AY22" s="118" t="str">
        <f>IFERROR(VLOOKUP((CONCATENATE(AM22,AX22)),[9]Listados!$U$3:$V$11,2,FALSE),"")</f>
        <v>Débil</v>
      </c>
      <c r="AZ22" s="114">
        <f>IF(ISBLANK(AY22),"",IF(AY22="Débil", 0, IF(AY22="Moderado",50,100)))</f>
        <v>0</v>
      </c>
      <c r="BA22" s="323">
        <f>AVERAGE(AZ22:AZ23)</f>
        <v>0</v>
      </c>
      <c r="BB22" s="323" t="str">
        <f>IF(BA22&lt;=50, "Débil", IF(BA22&lt;=99,"Moderado","Fuerte"))</f>
        <v>Débil</v>
      </c>
      <c r="BC22" s="119">
        <f>+IF(AND(W22="Preventivo",BB22="Fuerte"),2,IF(AND(W22="Preventivo",BB22="Moderado"),1,0))</f>
        <v>0</v>
      </c>
      <c r="BD22" s="119">
        <f>+IF(AND(W22="Detectivo/Correctivo",$BB22="Fuerte"),2,IF(AND(W22="Detectivo/Correctivo",$BB22="Moderado"),1,IF(AND(W22="Preventivo",$BB22="Fuerte"),1,0)))</f>
        <v>0</v>
      </c>
      <c r="BE22" s="119">
        <f>+N22-BC22</f>
        <v>4</v>
      </c>
      <c r="BF22" s="119">
        <f>+P22-BD22</f>
        <v>4</v>
      </c>
      <c r="BG22" s="297" t="str">
        <f>+VLOOKUP(MIN(BE22,BE23),[9]Listados!$J$18:$K$24,2,TRUE)</f>
        <v>Probable</v>
      </c>
      <c r="BH22" s="297" t="str">
        <f>+VLOOKUP(MIN(BF22,BF23),[9]Listados!$J$26:$K$32,2,TRUE)</f>
        <v>Mayor</v>
      </c>
      <c r="BI22" s="297" t="str">
        <f>IF(AND(BG22&lt;&gt;"",BH22&lt;&gt;""),VLOOKUP(BG22&amp;BH22,[9]Listados!$M$3:$N$27,2,FALSE),"")</f>
        <v>Extremo</v>
      </c>
      <c r="BJ22" s="298" t="s">
        <v>481</v>
      </c>
      <c r="BK22" s="304">
        <v>45323</v>
      </c>
      <c r="BL22" s="298" t="s">
        <v>482</v>
      </c>
      <c r="BM22" s="305" t="s">
        <v>483</v>
      </c>
    </row>
    <row r="23" spans="1:65" ht="114.75">
      <c r="A23" s="320"/>
      <c r="B23" s="455"/>
      <c r="C23" s="470"/>
      <c r="D23" s="321"/>
      <c r="E23" s="40" t="s">
        <v>180</v>
      </c>
      <c r="F23" s="452"/>
      <c r="G23" s="452"/>
      <c r="H23" s="471" t="s">
        <v>186</v>
      </c>
      <c r="I23" s="22" t="s">
        <v>201</v>
      </c>
      <c r="J23" s="471" t="s">
        <v>210</v>
      </c>
      <c r="K23" s="472" t="s">
        <v>17</v>
      </c>
      <c r="L23" s="23" t="s">
        <v>214</v>
      </c>
      <c r="M23" s="455"/>
      <c r="N23" s="456"/>
      <c r="O23" s="457"/>
      <c r="P23" s="456"/>
      <c r="Q23" s="459"/>
      <c r="R23" s="459"/>
      <c r="S23" s="460" t="s">
        <v>224</v>
      </c>
      <c r="T23" s="460" t="s">
        <v>252</v>
      </c>
      <c r="U23" s="461" t="s">
        <v>484</v>
      </c>
      <c r="V23" s="461" t="s">
        <v>210</v>
      </c>
      <c r="W23" s="473" t="s">
        <v>21</v>
      </c>
      <c r="X23" s="460" t="s">
        <v>119</v>
      </c>
      <c r="Y23" s="460">
        <f t="shared" si="3"/>
        <v>15</v>
      </c>
      <c r="Z23" s="460" t="s">
        <v>119</v>
      </c>
      <c r="AA23" s="460">
        <f t="shared" si="4"/>
        <v>15</v>
      </c>
      <c r="AB23" s="460" t="s">
        <v>119</v>
      </c>
      <c r="AC23" s="460">
        <f t="shared" si="5"/>
        <v>15</v>
      </c>
      <c r="AD23" s="460" t="s">
        <v>119</v>
      </c>
      <c r="AE23" s="460">
        <f t="shared" si="6"/>
        <v>15</v>
      </c>
      <c r="AF23" s="460" t="s">
        <v>119</v>
      </c>
      <c r="AG23" s="460">
        <f t="shared" si="7"/>
        <v>15</v>
      </c>
      <c r="AH23" s="460" t="s">
        <v>119</v>
      </c>
      <c r="AI23" s="460">
        <f t="shared" si="8"/>
        <v>15</v>
      </c>
      <c r="AJ23" s="460" t="s">
        <v>120</v>
      </c>
      <c r="AK23" s="462">
        <f t="shared" ref="AK23:AK25" si="26">+IF(AJ23="Completa",10,IF(AJ23="Incompleta",5,""))</f>
        <v>10</v>
      </c>
      <c r="AL23" s="463">
        <f>IF((SUM(Y23,AA23,AC23,AE23,AG23,AI23,AK23)=0),"",(SUM(Y23,AA23,AC23,AE23,AG23,AI23,AK23)))</f>
        <v>100</v>
      </c>
      <c r="AM23" s="463" t="str">
        <f>IF(AL23&lt;=85,"Débil",IF(AL23&lt;=95,"Moderado",IF(AL23=100,"Fuerte","")))</f>
        <v>Fuerte</v>
      </c>
      <c r="AN23" s="465" t="s">
        <v>357</v>
      </c>
      <c r="AO23" s="106">
        <f>IFERROR(VLOOKUP(AN23,'[9]Seguridad Información'!$C$61:$D$63,2,0),"")</f>
        <v>20</v>
      </c>
      <c r="AP23" s="465" t="s">
        <v>350</v>
      </c>
      <c r="AQ23" s="106">
        <f>IFERROR(VLOOKUP(AP23,'[9]Seguridad Información'!$E$61:$F$64,2,0),"")</f>
        <v>100</v>
      </c>
      <c r="AR23" s="465" t="s">
        <v>355</v>
      </c>
      <c r="AS23" s="106">
        <f>IFERROR(VLOOKUP(AR23,'[9]Seguridad Información'!$G$61:$H$64,2,0),"")</f>
        <v>60</v>
      </c>
      <c r="AT23" s="465" t="s">
        <v>352</v>
      </c>
      <c r="AU23" s="444">
        <f>IFERROR(VLOOKUP(AT23,'[9]Seguridad Información'!$I$61:$J$65,2,0),"")</f>
        <v>100</v>
      </c>
      <c r="AV23" s="444"/>
      <c r="AW23" s="475">
        <f t="shared" ref="AW23:AW25" si="27">IFERROR(AVERAGE(AO23,AQ23,AS23,AU23),"")</f>
        <v>70</v>
      </c>
      <c r="AX23" s="463" t="str">
        <f t="shared" ref="AX23:AX25" si="28">IF(AW23&lt;=80,"Débil",IF(AW23&lt;=90,"Moderado",IF(AW23=100,"Fuerte","")))</f>
        <v>Débil</v>
      </c>
      <c r="AY23" s="475" t="str">
        <f>IFERROR(VLOOKUP((CONCATENATE(AM23,AX23)),[9]Listados!$U$3:$V$11,2,FALSE),"")</f>
        <v>Débil</v>
      </c>
      <c r="AZ23" s="463">
        <f>IF(ISBLANK(AY23),"",IF(AY23="Débil", 0, IF(AY23="Moderado",50,100)))</f>
        <v>0</v>
      </c>
      <c r="BA23" s="476"/>
      <c r="BB23" s="476"/>
      <c r="BC23" s="477">
        <f>+IF(AND(W23="Preventivo",BB22="Fuerte"),2,IF(AND(W23="Preventivo",BB22="Moderado"),1,0))</f>
        <v>0</v>
      </c>
      <c r="BD23" s="477">
        <f>+IF(AND(W23="Detectivo/Correctivo",$BB22="Fuerte"),2,IF(AND(W23="Detectivo/Correctivo",$BB23="Moderado"),1,IF(AND(W23="Preventivo",$BB22="Fuerte"),1,0)))</f>
        <v>0</v>
      </c>
      <c r="BE23" s="477">
        <f>+N22-BC23</f>
        <v>4</v>
      </c>
      <c r="BF23" s="477">
        <f>+P22-BD23</f>
        <v>4</v>
      </c>
      <c r="BG23" s="459"/>
      <c r="BH23" s="459"/>
      <c r="BI23" s="459"/>
      <c r="BJ23" s="469"/>
      <c r="BK23" s="469"/>
      <c r="BL23" s="469"/>
      <c r="BM23" s="300"/>
    </row>
    <row r="24" spans="1:65" ht="114.75">
      <c r="A24" s="320">
        <v>2</v>
      </c>
      <c r="B24" s="478" t="s">
        <v>79</v>
      </c>
      <c r="C24" s="470" t="str">
        <f>IFERROR(VLOOKUP(B24,[9]Listados!B$3:C$20,2,FALSE),"")</f>
        <v>Generar lineamientos, herramientoas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
      <c r="D24" s="363" t="s">
        <v>485</v>
      </c>
      <c r="E24" s="40" t="s">
        <v>182</v>
      </c>
      <c r="F24" s="452" t="s">
        <v>182</v>
      </c>
      <c r="G24" s="358" t="s">
        <v>199</v>
      </c>
      <c r="H24" s="471" t="s">
        <v>188</v>
      </c>
      <c r="I24" s="22" t="s">
        <v>203</v>
      </c>
      <c r="J24" s="471" t="s">
        <v>211</v>
      </c>
      <c r="K24" s="472" t="s">
        <v>17</v>
      </c>
      <c r="L24" s="23" t="s">
        <v>214</v>
      </c>
      <c r="M24" s="455" t="s">
        <v>32</v>
      </c>
      <c r="N24" s="456">
        <f>+VLOOKUP(M24,[9]Listados!$K$8:$L$12,2,0)</f>
        <v>2</v>
      </c>
      <c r="O24" s="457" t="s">
        <v>33</v>
      </c>
      <c r="P24" s="456">
        <f>+VLOOKUP(O24,[9]Listados!$K$13:$L$17,2,0)</f>
        <v>2</v>
      </c>
      <c r="Q24" s="459" t="str">
        <f>IF(AND(M24&lt;&gt;"",O24&lt;&gt;""),VLOOKUP(M24&amp;O24,[9]Listados!$M$3:$N$27,2,FALSE),"")</f>
        <v>Bajo</v>
      </c>
      <c r="R24" s="459" t="str">
        <f>+VLOOKUP(Q24,[9]Listados!$P$3:$Q$6,2,FALSE)</f>
        <v>Asumir el riesgo</v>
      </c>
      <c r="S24" s="460" t="s">
        <v>220</v>
      </c>
      <c r="T24" s="460" t="s">
        <v>248</v>
      </c>
      <c r="U24" s="48" t="s">
        <v>486</v>
      </c>
      <c r="V24" s="461" t="s">
        <v>211</v>
      </c>
      <c r="W24" s="479" t="s">
        <v>21</v>
      </c>
      <c r="X24" s="460" t="s">
        <v>119</v>
      </c>
      <c r="Y24" s="460">
        <f t="shared" si="3"/>
        <v>15</v>
      </c>
      <c r="Z24" s="480" t="s">
        <v>119</v>
      </c>
      <c r="AA24" s="460">
        <f t="shared" si="4"/>
        <v>15</v>
      </c>
      <c r="AB24" s="460" t="s">
        <v>119</v>
      </c>
      <c r="AC24" s="460">
        <f t="shared" si="5"/>
        <v>15</v>
      </c>
      <c r="AD24" s="460" t="s">
        <v>119</v>
      </c>
      <c r="AE24" s="460">
        <f t="shared" si="6"/>
        <v>15</v>
      </c>
      <c r="AF24" s="460" t="s">
        <v>119</v>
      </c>
      <c r="AG24" s="460">
        <f t="shared" si="7"/>
        <v>15</v>
      </c>
      <c r="AH24" s="460" t="s">
        <v>119</v>
      </c>
      <c r="AI24" s="460">
        <f t="shared" si="8"/>
        <v>15</v>
      </c>
      <c r="AJ24" s="460" t="s">
        <v>120</v>
      </c>
      <c r="AK24" s="462">
        <f t="shared" si="26"/>
        <v>10</v>
      </c>
      <c r="AL24" s="463">
        <f t="shared" ref="AL24:AL25" si="29">IF((SUM(Y24,AA24,AC24,AE24,AG24,AI24,AK24)=0),"",(SUM(Y24,AA24,AC24,AE24,AG24,AI24,AK24)))</f>
        <v>100</v>
      </c>
      <c r="AM24" s="463" t="str">
        <f t="shared" ref="AM24:AM25" si="30">IF(AL24&lt;=85,"Débil",IF(AL24&lt;=95,"Moderado",IF(AL24=100,"Fuerte","")))</f>
        <v>Fuerte</v>
      </c>
      <c r="AN24" s="465" t="s">
        <v>357</v>
      </c>
      <c r="AO24" s="106">
        <f>IFERROR(VLOOKUP(AN24,'[9]Seguridad Información'!$C$61:$D$63,2,0),"")</f>
        <v>20</v>
      </c>
      <c r="AP24" s="465" t="s">
        <v>350</v>
      </c>
      <c r="AQ24" s="106">
        <f>IFERROR(VLOOKUP(AP24,'[9]Seguridad Información'!$E$61:$F$64,2,0),"")</f>
        <v>100</v>
      </c>
      <c r="AR24" s="465" t="s">
        <v>355</v>
      </c>
      <c r="AS24" s="106">
        <f>IFERROR(VLOOKUP(AR24,'[9]Seguridad Información'!$G$61:$H$64,2,0),"")</f>
        <v>60</v>
      </c>
      <c r="AT24" s="465" t="s">
        <v>352</v>
      </c>
      <c r="AU24" s="444">
        <f>IFERROR(VLOOKUP(AT24,'[9]Seguridad Información'!$I$61:$J$65,2,0),"")</f>
        <v>100</v>
      </c>
      <c r="AV24" s="444"/>
      <c r="AW24" s="475">
        <f t="shared" si="27"/>
        <v>70</v>
      </c>
      <c r="AX24" s="463" t="str">
        <f t="shared" si="28"/>
        <v>Débil</v>
      </c>
      <c r="AY24" s="475" t="str">
        <f>IFERROR(VLOOKUP((CONCATENATE(AM24,AX24)),[9]Listados!$U$3:$V$11,2,FALSE),"")</f>
        <v>Débil</v>
      </c>
      <c r="AZ24" s="463">
        <f t="shared" ref="AZ24:AZ25" si="31">IF(ISBLANK(AY24),"",IF(AY24="Débil", 0, IF(AY24="Moderado",50,100)))</f>
        <v>0</v>
      </c>
      <c r="BA24" s="476">
        <f>AVERAGE(AZ24:AZ25)</f>
        <v>0</v>
      </c>
      <c r="BB24" s="476" t="str">
        <f>IF(BA24&lt;=50, "Débil", IF(BA24&lt;=99,"Moderado","Fuerte"))</f>
        <v>Débil</v>
      </c>
      <c r="BC24" s="477">
        <f>+IF(AND(W24="Preventivo",BB24="Fuerte"),2,IF(AND(W24="Preventivo",BB24="Moderado"),1,0))</f>
        <v>0</v>
      </c>
      <c r="BD24" s="477">
        <f>+IF(AND(W24="Detectivo/Correctivo",$BB24="Fuerte"),2,IF(AND(W24="Detectivo/Correctivo",$BB24="Moderado"),1,IF(AND(W24="Preventivo",$BB24="Fuerte"),1,0)))</f>
        <v>0</v>
      </c>
      <c r="BE24" s="477">
        <f>+N24-BC24</f>
        <v>2</v>
      </c>
      <c r="BF24" s="477">
        <f>+P24-BD24</f>
        <v>2</v>
      </c>
      <c r="BG24" s="459" t="str">
        <f>+VLOOKUP(MIN(BE24,BE25),[9]Listados!$J$18:$K$24,2,TRUE)</f>
        <v>Improbable</v>
      </c>
      <c r="BH24" s="459" t="str">
        <f>+VLOOKUP(MIN(BF24,BF25),[9]Listados!$J$26:$K$32,2,TRUE)</f>
        <v>Menor</v>
      </c>
      <c r="BI24" s="459" t="str">
        <f>IF(AND(BG24&lt;&gt;"",BH24&lt;&gt;""),VLOOKUP(BG24&amp;BH24,[9]Listados!$M$3:$N$27,2,FALSE),"")</f>
        <v>Bajo</v>
      </c>
      <c r="BJ24" s="469" t="str">
        <f>+IF($R24="Asumir el riesgo","NA","")</f>
        <v>NA</v>
      </c>
      <c r="BK24" s="469" t="str">
        <f>+IF($R24="Asumir el riesgo","NA","")</f>
        <v>NA</v>
      </c>
      <c r="BL24" s="469" t="str">
        <f>+IF($R24="Asumir el riesgo","NA","")</f>
        <v>NA</v>
      </c>
      <c r="BM24" s="300" t="str">
        <f>+IF($R24="Asumir el riesgo","NA","")</f>
        <v>NA</v>
      </c>
    </row>
    <row r="25" spans="1:65" ht="64.5" thickBot="1">
      <c r="A25" s="355"/>
      <c r="B25" s="356"/>
      <c r="C25" s="308"/>
      <c r="D25" s="378"/>
      <c r="E25" s="120" t="s">
        <v>182</v>
      </c>
      <c r="F25" s="312"/>
      <c r="G25" s="312"/>
      <c r="H25" s="121" t="s">
        <v>191</v>
      </c>
      <c r="I25" s="122" t="s">
        <v>201</v>
      </c>
      <c r="J25" s="121" t="s">
        <v>204</v>
      </c>
      <c r="K25" s="123" t="s">
        <v>17</v>
      </c>
      <c r="L25" s="124" t="s">
        <v>214</v>
      </c>
      <c r="M25" s="314"/>
      <c r="N25" s="316"/>
      <c r="O25" s="318"/>
      <c r="P25" s="316"/>
      <c r="Q25" s="302"/>
      <c r="R25" s="302"/>
      <c r="S25" s="125" t="s">
        <v>220</v>
      </c>
      <c r="T25" s="125" t="s">
        <v>273</v>
      </c>
      <c r="U25" s="126" t="s">
        <v>487</v>
      </c>
      <c r="V25" s="126" t="s">
        <v>204</v>
      </c>
      <c r="W25" s="183" t="s">
        <v>21</v>
      </c>
      <c r="X25" s="125" t="s">
        <v>119</v>
      </c>
      <c r="Y25" s="125">
        <f t="shared" si="3"/>
        <v>15</v>
      </c>
      <c r="Z25" s="184" t="s">
        <v>119</v>
      </c>
      <c r="AA25" s="125">
        <f t="shared" si="4"/>
        <v>15</v>
      </c>
      <c r="AB25" s="125" t="s">
        <v>119</v>
      </c>
      <c r="AC25" s="125">
        <f t="shared" si="5"/>
        <v>15</v>
      </c>
      <c r="AD25" s="125" t="s">
        <v>123</v>
      </c>
      <c r="AE25" s="125" t="str">
        <f t="shared" si="6"/>
        <v/>
      </c>
      <c r="AF25" s="125" t="s">
        <v>119</v>
      </c>
      <c r="AG25" s="125">
        <f t="shared" si="7"/>
        <v>15</v>
      </c>
      <c r="AH25" s="125" t="s">
        <v>119</v>
      </c>
      <c r="AI25" s="125">
        <f t="shared" si="8"/>
        <v>15</v>
      </c>
      <c r="AJ25" s="125" t="s">
        <v>120</v>
      </c>
      <c r="AK25" s="128">
        <f t="shared" si="26"/>
        <v>10</v>
      </c>
      <c r="AL25" s="129">
        <f t="shared" si="29"/>
        <v>85</v>
      </c>
      <c r="AM25" s="129" t="str">
        <f t="shared" si="30"/>
        <v>Débil</v>
      </c>
      <c r="AN25" s="148" t="s">
        <v>357</v>
      </c>
      <c r="AO25" s="185">
        <f>IFERROR(VLOOKUP(AN25,'[9]Seguridad Información'!$C$61:$D$63,2,0),"")</f>
        <v>20</v>
      </c>
      <c r="AP25" s="148" t="s">
        <v>350</v>
      </c>
      <c r="AQ25" s="185">
        <f>IFERROR(VLOOKUP(AP25,'[9]Seguridad Información'!$E$61:$F$64,2,0),"")</f>
        <v>100</v>
      </c>
      <c r="AR25" s="148" t="s">
        <v>351</v>
      </c>
      <c r="AS25" s="185">
        <f>IFERROR(VLOOKUP(AR25,'[9]Seguridad Información'!$G$61:$H$64,2,0),"")</f>
        <v>100</v>
      </c>
      <c r="AT25" s="148" t="s">
        <v>352</v>
      </c>
      <c r="AU25" s="133">
        <f>IFERROR(VLOOKUP(AT25,'[9]Seguridad Información'!$I$61:$J$65,2,0),"")</f>
        <v>100</v>
      </c>
      <c r="AV25" s="133"/>
      <c r="AW25" s="134">
        <f t="shared" si="27"/>
        <v>80</v>
      </c>
      <c r="AX25" s="129" t="str">
        <f t="shared" si="28"/>
        <v>Débil</v>
      </c>
      <c r="AY25" s="134" t="str">
        <f>IFERROR(VLOOKUP((CONCATENATE(AM25,AX25)),[9]Listados!$U$3:$V$11,2,FALSE),"")</f>
        <v>Débil</v>
      </c>
      <c r="AZ25" s="129">
        <f t="shared" si="31"/>
        <v>0</v>
      </c>
      <c r="BA25" s="324"/>
      <c r="BB25" s="324"/>
      <c r="BC25" s="135">
        <f>+IF(AND(W25="Preventivo",BB24="Fuerte"),2,IF(AND(W25="Preventivo",BB24="Moderado"),1,0))</f>
        <v>0</v>
      </c>
      <c r="BD25" s="135">
        <f>+IF(AND(W25="Detectivo/Correctivo",$BB24="Fuerte"),2,IF(AND(W25="Detectivo/Correctivo",$BB25="Moderado"),1,IF(AND(W25="Preventivo",$BB24="Fuerte"),1,0)))</f>
        <v>0</v>
      </c>
      <c r="BE25" s="135">
        <f>+N24-BC25</f>
        <v>2</v>
      </c>
      <c r="BF25" s="135">
        <f>+P24-BD25</f>
        <v>2</v>
      </c>
      <c r="BG25" s="302"/>
      <c r="BH25" s="302"/>
      <c r="BI25" s="302"/>
      <c r="BJ25" s="303"/>
      <c r="BK25" s="303"/>
      <c r="BL25" s="303"/>
      <c r="BM25" s="306"/>
    </row>
    <row r="26" spans="1:65" ht="84" customHeight="1">
      <c r="A26" s="319">
        <v>1</v>
      </c>
      <c r="B26" s="313" t="s">
        <v>79</v>
      </c>
      <c r="C26" s="307" t="str">
        <f>IFERROR(VLOOKUP(B26,[10]Listados!B$3:C$20,2,FALSE),"")</f>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
      <c r="D26" s="309" t="s">
        <v>488</v>
      </c>
      <c r="E26" s="107" t="s">
        <v>181</v>
      </c>
      <c r="F26" s="311" t="s">
        <v>180</v>
      </c>
      <c r="G26" s="311" t="s">
        <v>197</v>
      </c>
      <c r="H26" s="108" t="s">
        <v>187</v>
      </c>
      <c r="I26" s="108" t="s">
        <v>202</v>
      </c>
      <c r="J26" s="108" t="s">
        <v>208</v>
      </c>
      <c r="K26" s="109" t="s">
        <v>17</v>
      </c>
      <c r="L26" s="109" t="s">
        <v>214</v>
      </c>
      <c r="M26" s="313" t="s">
        <v>22</v>
      </c>
      <c r="N26" s="315">
        <f>+VLOOKUP(M26,[10]Listados!$K$8:$L$12,2,0)</f>
        <v>1</v>
      </c>
      <c r="O26" s="317" t="s">
        <v>37</v>
      </c>
      <c r="P26" s="315">
        <f>+VLOOKUP(O26,[10]Listados!$K$13:$L$17,2,0)</f>
        <v>3</v>
      </c>
      <c r="Q26" s="297" t="str">
        <f>IF(AND(M26&lt;&gt;"",O26&lt;&gt;""),VLOOKUP(M26&amp;O26,[10]Listados!$M$3:$N$27,2,FALSE),"")</f>
        <v>Moderado</v>
      </c>
      <c r="R26" s="297" t="str">
        <f>+VLOOKUP(Q26,[10]Listados!$P$3:$Q$6,2,FALSE)</f>
        <v xml:space="preserve"> Reducir el riesgo</v>
      </c>
      <c r="S26" s="110" t="s">
        <v>226</v>
      </c>
      <c r="T26" s="110" t="s">
        <v>254</v>
      </c>
      <c r="U26" s="111" t="s">
        <v>489</v>
      </c>
      <c r="V26" s="111" t="s">
        <v>208</v>
      </c>
      <c r="W26" s="112" t="s">
        <v>21</v>
      </c>
      <c r="X26" s="110" t="s">
        <v>119</v>
      </c>
      <c r="Y26" s="110">
        <f t="shared" si="3"/>
        <v>15</v>
      </c>
      <c r="Z26" s="110" t="s">
        <v>119</v>
      </c>
      <c r="AA26" s="110">
        <f t="shared" si="4"/>
        <v>15</v>
      </c>
      <c r="AB26" s="110" t="s">
        <v>119</v>
      </c>
      <c r="AC26" s="110">
        <f t="shared" si="5"/>
        <v>15</v>
      </c>
      <c r="AD26" s="110" t="s">
        <v>119</v>
      </c>
      <c r="AE26" s="110">
        <f t="shared" si="6"/>
        <v>15</v>
      </c>
      <c r="AF26" s="110" t="s">
        <v>119</v>
      </c>
      <c r="AG26" s="110">
        <f t="shared" si="7"/>
        <v>15</v>
      </c>
      <c r="AH26" s="110" t="s">
        <v>119</v>
      </c>
      <c r="AI26" s="110">
        <f t="shared" si="8"/>
        <v>15</v>
      </c>
      <c r="AJ26" s="110" t="s">
        <v>120</v>
      </c>
      <c r="AK26" s="113">
        <f>+IF(AJ26="Completa",10,IF(AJ26="Incompleta",5,""))</f>
        <v>10</v>
      </c>
      <c r="AL26" s="114">
        <f>IF((SUM(Y26,AA26,AC26,AE26,AG26,AI26,AK26)=0),"",(SUM(Y26,AA26,AC26,AE26,AG26,AI26,AK26)))</f>
        <v>100</v>
      </c>
      <c r="AM26" s="114" t="str">
        <f>IF(AL26&lt;=85,"Débil",IF(AL26&lt;=95,"Moderado",IF(AL26=100,"Fuerte","")))</f>
        <v>Fuerte</v>
      </c>
      <c r="AN26" s="187" t="s">
        <v>349</v>
      </c>
      <c r="AO26" s="187">
        <f>IFERROR(VLOOKUP(AN26,'[10]Seguridad Información'!$C$61:$D$63,2,0),"")</f>
        <v>100</v>
      </c>
      <c r="AP26" s="115" t="s">
        <v>350</v>
      </c>
      <c r="AQ26" s="187">
        <f>IFERROR(VLOOKUP(AP26,'[10]Seguridad Información'!$E$61:$F$64,2,0),"")</f>
        <v>100</v>
      </c>
      <c r="AR26" s="115" t="s">
        <v>351</v>
      </c>
      <c r="AS26" s="187">
        <f>IFERROR(VLOOKUP(AR26,'[10]Seguridad Información'!$G$61:$H$64,2,0),"")</f>
        <v>100</v>
      </c>
      <c r="AT26" s="187" t="s">
        <v>356</v>
      </c>
      <c r="AU26" s="117">
        <f>IFERROR(VLOOKUP(AT26,'[10]Seguridad Información'!$I$61:$J$65,2,0),"")</f>
        <v>60</v>
      </c>
      <c r="AV26" s="117"/>
      <c r="AW26" s="118">
        <f>IFERROR(AVERAGE(AO26,AQ26,AS26,AU26),"")</f>
        <v>90</v>
      </c>
      <c r="AX26" s="114" t="str">
        <f>IF(AW26&lt;=80,"Débil",IF(AW26&lt;=90,"Moderado",IF(AW26=100,"Fuerte","")))</f>
        <v>Moderado</v>
      </c>
      <c r="AY26" s="118" t="str">
        <f>IFERROR(VLOOKUP((CONCATENATE(AM26,AX26)),[10]Listados!$U$3:$V$11,2,FALSE),"")</f>
        <v>Moderado</v>
      </c>
      <c r="AZ26" s="114">
        <f>IF(ISBLANK(AY26),"",IF(AY26="Débil", 0, IF(AY26="Moderado",50,100)))</f>
        <v>50</v>
      </c>
      <c r="BA26" s="323">
        <f>AVERAGE(AZ26:AZ27)</f>
        <v>25</v>
      </c>
      <c r="BB26" s="323" t="str">
        <f>IF(BA26&lt;=50, "Débil", IF(BA26&lt;=99,"Moderado","Fuerte"))</f>
        <v>Débil</v>
      </c>
      <c r="BC26" s="119">
        <f>+IF(AND(W26="Preventivo",BB26="Fuerte"),2,IF(AND(W26="Preventivo",BB26="Moderado"),1,0))</f>
        <v>0</v>
      </c>
      <c r="BD26" s="119">
        <f>+IF(AND(W26="Detectivo/Correctivo",$BB26="Fuerte"),2,IF(AND(W26="Detectivo/Correctivo",$BB26="Moderado"),1,IF(AND(W26="Preventivo",$BB26="Fuerte"),1,0)))</f>
        <v>0</v>
      </c>
      <c r="BE26" s="119">
        <f>+N26-BC26</f>
        <v>1</v>
      </c>
      <c r="BF26" s="119">
        <f>+P26-BD26</f>
        <v>3</v>
      </c>
      <c r="BG26" s="297" t="str">
        <f>+VLOOKUP(MIN(BE26,BE27),[10]Listados!$J$18:$K$24,2,TRUE)</f>
        <v>Rara Vez</v>
      </c>
      <c r="BH26" s="297" t="str">
        <f>+VLOOKUP(MIN(BF26,BF27),[10]Listados!$J$26:$K$32,2,TRUE)</f>
        <v>Moderado</v>
      </c>
      <c r="BI26" s="297" t="str">
        <f>IF(AND(BG26&lt;&gt;"",BH26&lt;&gt;""),VLOOKUP(BG26&amp;BH26,[10]Listados!$M$3:$N$27,2,FALSE),"")</f>
        <v>Moderado</v>
      </c>
      <c r="BJ26" s="377" t="s">
        <v>490</v>
      </c>
      <c r="BK26" s="304">
        <v>45323</v>
      </c>
      <c r="BL26" s="298" t="s">
        <v>463</v>
      </c>
      <c r="BM26" s="305" t="s">
        <v>491</v>
      </c>
    </row>
    <row r="27" spans="1:65" ht="85.5" customHeight="1">
      <c r="A27" s="320"/>
      <c r="B27" s="455"/>
      <c r="C27" s="470"/>
      <c r="D27" s="321"/>
      <c r="E27" s="40" t="s">
        <v>180</v>
      </c>
      <c r="F27" s="452"/>
      <c r="G27" s="452"/>
      <c r="H27" s="471" t="s">
        <v>192</v>
      </c>
      <c r="I27" s="22" t="s">
        <v>201</v>
      </c>
      <c r="J27" s="471" t="s">
        <v>204</v>
      </c>
      <c r="K27" s="472" t="s">
        <v>17</v>
      </c>
      <c r="L27" s="23" t="s">
        <v>214</v>
      </c>
      <c r="M27" s="455"/>
      <c r="N27" s="456"/>
      <c r="O27" s="457"/>
      <c r="P27" s="456"/>
      <c r="Q27" s="459"/>
      <c r="R27" s="459"/>
      <c r="S27" s="460" t="s">
        <v>221</v>
      </c>
      <c r="T27" s="460" t="s">
        <v>297</v>
      </c>
      <c r="U27" s="461" t="s">
        <v>492</v>
      </c>
      <c r="V27" s="461" t="s">
        <v>211</v>
      </c>
      <c r="W27" s="473" t="s">
        <v>21</v>
      </c>
      <c r="X27" s="460" t="s">
        <v>119</v>
      </c>
      <c r="Y27" s="460">
        <f t="shared" si="3"/>
        <v>15</v>
      </c>
      <c r="Z27" s="460" t="s">
        <v>119</v>
      </c>
      <c r="AA27" s="460">
        <f t="shared" si="4"/>
        <v>15</v>
      </c>
      <c r="AB27" s="460" t="s">
        <v>119</v>
      </c>
      <c r="AC27" s="460">
        <f t="shared" si="5"/>
        <v>15</v>
      </c>
      <c r="AD27" s="460" t="s">
        <v>119</v>
      </c>
      <c r="AE27" s="460">
        <f t="shared" si="6"/>
        <v>15</v>
      </c>
      <c r="AF27" s="460" t="s">
        <v>119</v>
      </c>
      <c r="AG27" s="460">
        <f t="shared" si="7"/>
        <v>15</v>
      </c>
      <c r="AH27" s="460" t="s">
        <v>119</v>
      </c>
      <c r="AI27" s="460">
        <f t="shared" si="8"/>
        <v>15</v>
      </c>
      <c r="AJ27" s="460" t="s">
        <v>120</v>
      </c>
      <c r="AK27" s="462">
        <f t="shared" ref="AK27:AK29" si="32">+IF(AJ27="Completa",10,IF(AJ27="Incompleta",5,""))</f>
        <v>10</v>
      </c>
      <c r="AL27" s="463">
        <f>IF((SUM(Y27,AA27,AC27,AE27,AG27,AI27,AK27)=0),"",(SUM(Y27,AA27,AC27,AE27,AG27,AI27,AK27)))</f>
        <v>100</v>
      </c>
      <c r="AM27" s="463" t="str">
        <f>IF(AL27&lt;=85,"Débil",IF(AL27&lt;=95,"Moderado",IF(AL27=100,"Fuerte","")))</f>
        <v>Fuerte</v>
      </c>
      <c r="AN27" s="481" t="s">
        <v>357</v>
      </c>
      <c r="AO27" s="186">
        <f>IFERROR(VLOOKUP(AN27,'[10]Seguridad Información'!$C$61:$D$63,2,0),"")</f>
        <v>20</v>
      </c>
      <c r="AP27" s="482" t="s">
        <v>350</v>
      </c>
      <c r="AQ27" s="186">
        <f>IFERROR(VLOOKUP(AP27,'[10]Seguridad Información'!$E$61:$F$64,2,0),"")</f>
        <v>100</v>
      </c>
      <c r="AR27" s="482" t="s">
        <v>351</v>
      </c>
      <c r="AS27" s="186">
        <f>IFERROR(VLOOKUP(AR27,'[10]Seguridad Información'!$G$61:$H$64,2,0),"")</f>
        <v>100</v>
      </c>
      <c r="AT27" s="481" t="s">
        <v>352</v>
      </c>
      <c r="AU27" s="444">
        <f>IFERROR(VLOOKUP(AT27,'[10]Seguridad Información'!$I$61:$J$65,2,0),"")</f>
        <v>100</v>
      </c>
      <c r="AV27" s="444"/>
      <c r="AW27" s="475">
        <f t="shared" ref="AW27:AW29" si="33">IFERROR(AVERAGE(AO27,AQ27,AS27,AU27),"")</f>
        <v>80</v>
      </c>
      <c r="AX27" s="463" t="str">
        <f t="shared" ref="AX27:AX29" si="34">IF(AW27&lt;=80,"Débil",IF(AW27&lt;=90,"Moderado",IF(AW27=100,"Fuerte","")))</f>
        <v>Débil</v>
      </c>
      <c r="AY27" s="475" t="str">
        <f>IFERROR(VLOOKUP((CONCATENATE(AM27,AX27)),[10]Listados!$U$3:$V$11,2,FALSE),"")</f>
        <v>Débil</v>
      </c>
      <c r="AZ27" s="463">
        <f>IF(ISBLANK(AY27),"",IF(AY27="Débil", 0, IF(AY27="Moderado",50,100)))</f>
        <v>0</v>
      </c>
      <c r="BA27" s="476"/>
      <c r="BB27" s="476"/>
      <c r="BC27" s="477">
        <f>+IF(AND(W27="Preventivo",BB26="Fuerte"),2,IF(AND(W27="Preventivo",BB26="Moderado"),1,0))</f>
        <v>0</v>
      </c>
      <c r="BD27" s="477">
        <f>+IF(AND(W27="Detectivo/Correctivo",$BB26="Fuerte"),2,IF(AND(W27="Detectivo/Correctivo",$BB27="Moderado"),1,IF(AND(W27="Preventivo",$BB26="Fuerte"),1,0)))</f>
        <v>0</v>
      </c>
      <c r="BE27" s="477">
        <f>+N26-BC27</f>
        <v>1</v>
      </c>
      <c r="BF27" s="477">
        <f>+P26-BD27</f>
        <v>3</v>
      </c>
      <c r="BG27" s="459"/>
      <c r="BH27" s="459"/>
      <c r="BI27" s="459"/>
      <c r="BJ27" s="483"/>
      <c r="BK27" s="469"/>
      <c r="BL27" s="469"/>
      <c r="BM27" s="300"/>
    </row>
    <row r="28" spans="1:65" ht="99.75" customHeight="1">
      <c r="A28" s="320">
        <v>2</v>
      </c>
      <c r="B28" s="478" t="s">
        <v>79</v>
      </c>
      <c r="C28" s="470" t="str">
        <f>IFERROR(VLOOKUP(B28,[10]Listados!B$3:C$20,2,FALSE),"")</f>
        <v>Generar lineamientos, herramientas y acciones a la justicia a través de la articulación y coordinación para el desarrollo de las iniciativas sectoriales, la implementación de estrategias y actividades con enfoque étnico, de genero y para las personas con discapacidad, la promoción y uso de los métodos de resolución de conflictos en los territorios, la implementación de los modelos de atención y el fortalecimiento de las Comisarías de Familia y Consultorios Jurídicos, en desarrollo de las políticas y las competencias del Ministerio de Justicia y del Derecho.</v>
      </c>
      <c r="D28" s="357" t="s">
        <v>493</v>
      </c>
      <c r="E28" s="40" t="s">
        <v>182</v>
      </c>
      <c r="F28" s="452" t="s">
        <v>182</v>
      </c>
      <c r="G28" s="358" t="s">
        <v>199</v>
      </c>
      <c r="H28" s="471" t="s">
        <v>188</v>
      </c>
      <c r="I28" s="22" t="s">
        <v>203</v>
      </c>
      <c r="J28" s="471" t="s">
        <v>211</v>
      </c>
      <c r="K28" s="472" t="s">
        <v>17</v>
      </c>
      <c r="L28" s="23" t="s">
        <v>215</v>
      </c>
      <c r="M28" s="455" t="s">
        <v>45</v>
      </c>
      <c r="N28" s="456">
        <f>+VLOOKUP(M28,[10]Listados!$K$8:$L$12,2,0)</f>
        <v>3</v>
      </c>
      <c r="O28" s="457" t="s">
        <v>33</v>
      </c>
      <c r="P28" s="456">
        <f>+VLOOKUP(O28,[10]Listados!$K$13:$L$17,2,0)</f>
        <v>2</v>
      </c>
      <c r="Q28" s="459" t="str">
        <f>IF(AND(M28&lt;&gt;"",O28&lt;&gt;""),VLOOKUP(M28&amp;O28,[10]Listados!$M$3:$N$27,2,FALSE),"")</f>
        <v>Moderado</v>
      </c>
      <c r="R28" s="459" t="str">
        <f>+VLOOKUP(Q28,[10]Listados!$P$3:$Q$6,2,FALSE)</f>
        <v xml:space="preserve"> Reducir el riesgo</v>
      </c>
      <c r="S28" s="460" t="s">
        <v>220</v>
      </c>
      <c r="T28" s="460" t="s">
        <v>248</v>
      </c>
      <c r="U28" s="48" t="s">
        <v>494</v>
      </c>
      <c r="V28" s="461" t="s">
        <v>211</v>
      </c>
      <c r="W28" s="479" t="s">
        <v>21</v>
      </c>
      <c r="X28" s="460" t="s">
        <v>119</v>
      </c>
      <c r="Y28" s="460">
        <f t="shared" si="3"/>
        <v>15</v>
      </c>
      <c r="Z28" s="480" t="s">
        <v>119</v>
      </c>
      <c r="AA28" s="460">
        <f t="shared" si="4"/>
        <v>15</v>
      </c>
      <c r="AB28" s="460" t="s">
        <v>119</v>
      </c>
      <c r="AC28" s="460">
        <f t="shared" si="5"/>
        <v>15</v>
      </c>
      <c r="AD28" s="460" t="s">
        <v>119</v>
      </c>
      <c r="AE28" s="460">
        <f t="shared" si="6"/>
        <v>15</v>
      </c>
      <c r="AF28" s="460" t="s">
        <v>119</v>
      </c>
      <c r="AG28" s="460">
        <f t="shared" si="7"/>
        <v>15</v>
      </c>
      <c r="AH28" s="460" t="s">
        <v>119</v>
      </c>
      <c r="AI28" s="460">
        <f t="shared" si="8"/>
        <v>15</v>
      </c>
      <c r="AJ28" s="460" t="s">
        <v>120</v>
      </c>
      <c r="AK28" s="462">
        <f t="shared" si="32"/>
        <v>10</v>
      </c>
      <c r="AL28" s="463">
        <f t="shared" ref="AL28:AL29" si="35">IF((SUM(Y28,AA28,AC28,AE28,AG28,AI28,AK28)=0),"",(SUM(Y28,AA28,AC28,AE28,AG28,AI28,AK28)))</f>
        <v>100</v>
      </c>
      <c r="AM28" s="463" t="str">
        <f t="shared" ref="AM28:AM29" si="36">IF(AL28&lt;=85,"Débil",IF(AL28&lt;=95,"Moderado",IF(AL28=100,"Fuerte","")))</f>
        <v>Fuerte</v>
      </c>
      <c r="AN28" s="481" t="s">
        <v>357</v>
      </c>
      <c r="AO28" s="186">
        <f>IFERROR(VLOOKUP(AN28,'[10]Seguridad Información'!$C$61:$D$63,2,0),"")</f>
        <v>20</v>
      </c>
      <c r="AP28" s="482" t="s">
        <v>350</v>
      </c>
      <c r="AQ28" s="186">
        <f>IFERROR(VLOOKUP(AP28,'[10]Seguridad Información'!$E$61:$F$64,2,0),"")</f>
        <v>100</v>
      </c>
      <c r="AR28" s="482" t="s">
        <v>355</v>
      </c>
      <c r="AS28" s="186">
        <f>IFERROR(VLOOKUP(AR28,'[10]Seguridad Información'!$G$61:$H$64,2,0),"")</f>
        <v>60</v>
      </c>
      <c r="AT28" s="481" t="s">
        <v>352</v>
      </c>
      <c r="AU28" s="444">
        <f>IFERROR(VLOOKUP(AT28,'[10]Seguridad Información'!$I$61:$J$65,2,0),"")</f>
        <v>100</v>
      </c>
      <c r="AV28" s="444"/>
      <c r="AW28" s="475">
        <f t="shared" si="33"/>
        <v>70</v>
      </c>
      <c r="AX28" s="463" t="str">
        <f t="shared" si="34"/>
        <v>Débil</v>
      </c>
      <c r="AY28" s="475" t="str">
        <f>IFERROR(VLOOKUP((CONCATENATE(AM28,AX28)),[10]Listados!$U$3:$V$11,2,FALSE),"")</f>
        <v>Débil</v>
      </c>
      <c r="AZ28" s="463">
        <f t="shared" ref="AZ28:AZ29" si="37">IF(ISBLANK(AY28),"",IF(AY28="Débil", 0, IF(AY28="Moderado",50,100)))</f>
        <v>0</v>
      </c>
      <c r="BA28" s="476">
        <f>AVERAGE(AZ28:AZ29)</f>
        <v>0</v>
      </c>
      <c r="BB28" s="476" t="str">
        <f>IF(BA28&lt;=50, "Débil", IF(BA28&lt;=99,"Moderado","Fuerte"))</f>
        <v>Débil</v>
      </c>
      <c r="BC28" s="477">
        <f>+IF(AND(W28="Preventivo",BB28="Fuerte"),2,IF(AND(W28="Preventivo",BB28="Moderado"),1,0))</f>
        <v>0</v>
      </c>
      <c r="BD28" s="477">
        <f>+IF(AND(W28="Detectivo/Correctivo",$BB28="Fuerte"),2,IF(AND(W28="Detectivo/Correctivo",$BB28="Moderado"),1,IF(AND(W28="Preventivo",$BB28="Fuerte"),1,0)))</f>
        <v>0</v>
      </c>
      <c r="BE28" s="477">
        <f>+N28-BC28</f>
        <v>3</v>
      </c>
      <c r="BF28" s="477">
        <f>+P28-BD28</f>
        <v>2</v>
      </c>
      <c r="BG28" s="459" t="str">
        <f>+VLOOKUP(MIN(BE28,BE29),[10]Listados!$J$18:$K$24,2,TRUE)</f>
        <v>Posible</v>
      </c>
      <c r="BH28" s="459" t="str">
        <f>+VLOOKUP(MIN(BF28,BF29),[10]Listados!$J$26:$K$32,2,TRUE)</f>
        <v>Menor</v>
      </c>
      <c r="BI28" s="459" t="str">
        <f>IF(AND(BG28&lt;&gt;"",BH28&lt;&gt;""),VLOOKUP(BG28&amp;BH28,[10]Listados!$M$3:$N$27,2,FALSE),"")</f>
        <v>Moderado</v>
      </c>
      <c r="BJ28" s="483" t="s">
        <v>495</v>
      </c>
      <c r="BK28" s="484">
        <v>45323</v>
      </c>
      <c r="BL28" s="469" t="s">
        <v>496</v>
      </c>
      <c r="BM28" s="360" t="s">
        <v>491</v>
      </c>
    </row>
    <row r="29" spans="1:65" ht="117.75" customHeight="1" thickBot="1">
      <c r="A29" s="355"/>
      <c r="B29" s="356"/>
      <c r="C29" s="308"/>
      <c r="D29" s="310"/>
      <c r="E29" s="120" t="s">
        <v>182</v>
      </c>
      <c r="F29" s="312"/>
      <c r="G29" s="312"/>
      <c r="H29" s="121" t="s">
        <v>191</v>
      </c>
      <c r="I29" s="122" t="s">
        <v>203</v>
      </c>
      <c r="J29" s="121" t="s">
        <v>211</v>
      </c>
      <c r="K29" s="123" t="s">
        <v>17</v>
      </c>
      <c r="L29" s="124" t="s">
        <v>215</v>
      </c>
      <c r="M29" s="314"/>
      <c r="N29" s="316"/>
      <c r="O29" s="318"/>
      <c r="P29" s="316"/>
      <c r="Q29" s="302"/>
      <c r="R29" s="302"/>
      <c r="S29" s="125" t="s">
        <v>220</v>
      </c>
      <c r="T29" s="125" t="s">
        <v>296</v>
      </c>
      <c r="U29" s="126" t="s">
        <v>497</v>
      </c>
      <c r="V29" s="126" t="s">
        <v>204</v>
      </c>
      <c r="W29" s="183" t="s">
        <v>21</v>
      </c>
      <c r="X29" s="125" t="s">
        <v>119</v>
      </c>
      <c r="Y29" s="125">
        <f t="shared" si="3"/>
        <v>15</v>
      </c>
      <c r="Z29" s="184" t="s">
        <v>119</v>
      </c>
      <c r="AA29" s="125">
        <f t="shared" si="4"/>
        <v>15</v>
      </c>
      <c r="AB29" s="125" t="s">
        <v>119</v>
      </c>
      <c r="AC29" s="125">
        <f t="shared" si="5"/>
        <v>15</v>
      </c>
      <c r="AD29" s="125" t="s">
        <v>123</v>
      </c>
      <c r="AE29" s="125" t="str">
        <f t="shared" si="6"/>
        <v/>
      </c>
      <c r="AF29" s="125" t="s">
        <v>119</v>
      </c>
      <c r="AG29" s="125">
        <f t="shared" si="7"/>
        <v>15</v>
      </c>
      <c r="AH29" s="125" t="s">
        <v>119</v>
      </c>
      <c r="AI29" s="125">
        <f t="shared" si="8"/>
        <v>15</v>
      </c>
      <c r="AJ29" s="125" t="s">
        <v>120</v>
      </c>
      <c r="AK29" s="128">
        <f t="shared" si="32"/>
        <v>10</v>
      </c>
      <c r="AL29" s="129">
        <f t="shared" si="35"/>
        <v>85</v>
      </c>
      <c r="AM29" s="129" t="str">
        <f t="shared" si="36"/>
        <v>Débil</v>
      </c>
      <c r="AN29" s="188" t="s">
        <v>357</v>
      </c>
      <c r="AO29" s="189">
        <f>IFERROR(VLOOKUP(AN29,'[10]Seguridad Información'!$C$61:$D$63,2,0),"")</f>
        <v>20</v>
      </c>
      <c r="AP29" s="130" t="s">
        <v>350</v>
      </c>
      <c r="AQ29" s="189">
        <f>IFERROR(VLOOKUP(AP29,'[10]Seguridad Información'!$E$61:$F$64,2,0),"")</f>
        <v>100</v>
      </c>
      <c r="AR29" s="130" t="s">
        <v>355</v>
      </c>
      <c r="AS29" s="189">
        <f>IFERROR(VLOOKUP(AR29,'[10]Seguridad Información'!$G$61:$H$64,2,0),"")</f>
        <v>60</v>
      </c>
      <c r="AT29" s="130" t="s">
        <v>356</v>
      </c>
      <c r="AU29" s="133">
        <f>IFERROR(VLOOKUP(AT29,'[10]Seguridad Información'!$I$61:$J$65,2,0),"")</f>
        <v>60</v>
      </c>
      <c r="AV29" s="133"/>
      <c r="AW29" s="134">
        <f t="shared" si="33"/>
        <v>60</v>
      </c>
      <c r="AX29" s="129" t="str">
        <f t="shared" si="34"/>
        <v>Débil</v>
      </c>
      <c r="AY29" s="134" t="str">
        <f>IFERROR(VLOOKUP((CONCATENATE(AM29,AX29)),[10]Listados!$U$3:$V$11,2,FALSE),"")</f>
        <v>Débil</v>
      </c>
      <c r="AZ29" s="129">
        <f t="shared" si="37"/>
        <v>0</v>
      </c>
      <c r="BA29" s="324"/>
      <c r="BB29" s="324"/>
      <c r="BC29" s="135">
        <f>+IF(AND(W29="Preventivo",BB28="Fuerte"),2,IF(AND(W29="Preventivo",BB28="Moderado"),1,0))</f>
        <v>0</v>
      </c>
      <c r="BD29" s="135">
        <f>+IF(AND(W29="Detectivo/Correctivo",$BB28="Fuerte"),2,IF(AND(W29="Detectivo/Correctivo",$BB29="Moderado"),1,IF(AND(W29="Preventivo",$BB28="Fuerte"),1,0)))</f>
        <v>0</v>
      </c>
      <c r="BE29" s="135">
        <f>+N28-BC29</f>
        <v>3</v>
      </c>
      <c r="BF29" s="135">
        <f>+P28-BD29</f>
        <v>2</v>
      </c>
      <c r="BG29" s="302"/>
      <c r="BH29" s="302"/>
      <c r="BI29" s="302"/>
      <c r="BJ29" s="376"/>
      <c r="BK29" s="303"/>
      <c r="BL29" s="303"/>
      <c r="BM29" s="306"/>
    </row>
    <row r="30" spans="1:65" ht="127.5">
      <c r="A30" s="319">
        <v>1</v>
      </c>
      <c r="B30" s="313" t="s">
        <v>82</v>
      </c>
      <c r="C30" s="307" t="str">
        <f>IFERROR(VLOOKUP(B30,[11]Listados!B$3:C$20,2,FALSE),"")</f>
        <v>Fortalecer el Principio Constitucional de Seguridad Jurídica mediante la defensa del ordenamiento jurídico, la formulación de lineamientos o metodologías para desarrollar procesos de depuración del ordenamiento jurídico y la divulgación de información normativa a través de la administración funcional del sistema SUIN-JURISCOL y su portal Web.</v>
      </c>
      <c r="D30" s="309" t="s">
        <v>498</v>
      </c>
      <c r="E30" s="107" t="s">
        <v>181</v>
      </c>
      <c r="F30" s="311" t="s">
        <v>181</v>
      </c>
      <c r="G30" s="311" t="s">
        <v>198</v>
      </c>
      <c r="H30" s="108" t="s">
        <v>187</v>
      </c>
      <c r="I30" s="108" t="s">
        <v>202</v>
      </c>
      <c r="J30" s="108" t="s">
        <v>208</v>
      </c>
      <c r="K30" s="109" t="s">
        <v>17</v>
      </c>
      <c r="L30" s="109" t="s">
        <v>214</v>
      </c>
      <c r="M30" s="313" t="s">
        <v>45</v>
      </c>
      <c r="N30" s="315">
        <f>+VLOOKUP(M30,[11]Listados!$K$8:$L$12,2,0)</f>
        <v>3</v>
      </c>
      <c r="O30" s="317" t="s">
        <v>33</v>
      </c>
      <c r="P30" s="315">
        <f>+VLOOKUP(O30,[11]Listados!$K$13:$L$17,2,0)</f>
        <v>2</v>
      </c>
      <c r="Q30" s="297" t="str">
        <f>IF(AND(M30&lt;&gt;"",O30&lt;&gt;""),VLOOKUP(M30&amp;O30,[11]Listados!$M$3:$N$27,2,FALSE),"")</f>
        <v>Moderado</v>
      </c>
      <c r="R30" s="297" t="str">
        <f>+VLOOKUP(Q30,[11]Listados!$P$3:$Q$6,2,FALSE)</f>
        <v xml:space="preserve"> Reducir el riesgo</v>
      </c>
      <c r="S30" s="110" t="s">
        <v>227</v>
      </c>
      <c r="T30" s="110" t="s">
        <v>328</v>
      </c>
      <c r="U30" s="111" t="s">
        <v>499</v>
      </c>
      <c r="V30" s="111" t="s">
        <v>208</v>
      </c>
      <c r="W30" s="112" t="s">
        <v>21</v>
      </c>
      <c r="X30" s="110" t="s">
        <v>119</v>
      </c>
      <c r="Y30" s="110">
        <f t="shared" si="3"/>
        <v>15</v>
      </c>
      <c r="Z30" s="110" t="s">
        <v>119</v>
      </c>
      <c r="AA30" s="110">
        <f t="shared" si="4"/>
        <v>15</v>
      </c>
      <c r="AB30" s="110" t="s">
        <v>123</v>
      </c>
      <c r="AC30" s="110" t="str">
        <f t="shared" si="5"/>
        <v/>
      </c>
      <c r="AD30" s="110" t="s">
        <v>119</v>
      </c>
      <c r="AE30" s="110">
        <f t="shared" si="6"/>
        <v>15</v>
      </c>
      <c r="AF30" s="110" t="s">
        <v>119</v>
      </c>
      <c r="AG30" s="110">
        <f t="shared" si="7"/>
        <v>15</v>
      </c>
      <c r="AH30" s="110" t="s">
        <v>123</v>
      </c>
      <c r="AI30" s="110" t="str">
        <f t="shared" si="8"/>
        <v/>
      </c>
      <c r="AJ30" s="110" t="s">
        <v>120</v>
      </c>
      <c r="AK30" s="113">
        <f>+IF(AJ30="Completa",10,IF(AJ30="Incompleta",5,""))</f>
        <v>10</v>
      </c>
      <c r="AL30" s="114">
        <f t="shared" ref="AL30:AL42" si="38">IF((SUM(Y30,AA30,AC30,AE30,AG30,AI30,AK30)=0),"",(SUM(Y30,AA30,AC30,AE30,AG30,AI30,AK30)))</f>
        <v>70</v>
      </c>
      <c r="AM30" s="114" t="str">
        <f t="shared" ref="AM30:AM42" si="39">IF(AL30&lt;=85,"Débil",IF(AL30&lt;=95,"Moderado",IF(AL30=100,"Fuerte","")))</f>
        <v>Débil</v>
      </c>
      <c r="AN30" s="191" t="s">
        <v>357</v>
      </c>
      <c r="AO30" s="191">
        <f>IFERROR(VLOOKUP(AN30,'[11]Seguridad Información'!$C$61:$D$63,2,0),"")</f>
        <v>20</v>
      </c>
      <c r="AP30" s="191" t="s">
        <v>350</v>
      </c>
      <c r="AQ30" s="191">
        <f>IFERROR(VLOOKUP(AP30,'[11]Seguridad Información'!$E$61:$F$64,2,0),"")</f>
        <v>100</v>
      </c>
      <c r="AR30" s="191" t="s">
        <v>362</v>
      </c>
      <c r="AS30" s="191">
        <f>IFERROR(VLOOKUP(AR30,'[11]Seguridad Información'!$G$61:$H$64,2,0),"")</f>
        <v>0</v>
      </c>
      <c r="AT30" s="191" t="s">
        <v>364</v>
      </c>
      <c r="AU30" s="192" t="str">
        <f>IFERROR(VLOOKUP(AT30,'[11]Seguridad Información'!$I$61:$J$65,2,0),"")</f>
        <v>NA</v>
      </c>
      <c r="AV30" s="117"/>
      <c r="AW30" s="118">
        <f>IFERROR(AVERAGE(AO30,AQ30,AS30,AU30),"")</f>
        <v>40</v>
      </c>
      <c r="AX30" s="114" t="str">
        <f>IF(AW30&lt;=80,"Débil",IF(AW30&lt;=90,"Moderado",IF(AW30=100,"Fuerte","")))</f>
        <v>Débil</v>
      </c>
      <c r="AY30" s="118" t="str">
        <f>IFERROR(VLOOKUP((CONCATENATE(AM30,AX30)),[11]Listados!$U$3:$V$11,2,FALSE),"")</f>
        <v>Débil</v>
      </c>
      <c r="AZ30" s="114">
        <f t="shared" ref="AZ30:AZ42" si="40">IF(ISBLANK(AY30),"",IF(AY30="Débil", 0, IF(AY30="Moderado",50,100)))</f>
        <v>0</v>
      </c>
      <c r="BA30" s="323">
        <f>AVERAGE(AZ30:AZ31)</f>
        <v>0</v>
      </c>
      <c r="BB30" s="323" t="str">
        <f>IF(BA30&lt;=50, "Débil", IF(BA30&lt;=99,"Moderado","Fuerte"))</f>
        <v>Débil</v>
      </c>
      <c r="BC30" s="119">
        <f>+IF(AND(W30="Preventivo",BB30="Fuerte"),2,IF(AND(W30="Preventivo",BB30="Moderado"),1,0))</f>
        <v>0</v>
      </c>
      <c r="BD30" s="119">
        <f>+IF(AND(W30="Detectivo/Correctivo",$BB30="Fuerte"),2,IF(AND(W30="Detectivo/Correctivo",$BB30="Moderado"),1,IF(AND(W30="Preventivo",$BB30="Fuerte"),1,0)))</f>
        <v>0</v>
      </c>
      <c r="BE30" s="119">
        <f>+N30-BC30</f>
        <v>3</v>
      </c>
      <c r="BF30" s="119">
        <f>+P30-BD30</f>
        <v>2</v>
      </c>
      <c r="BG30" s="297" t="str">
        <f>+VLOOKUP(MIN(BE30,BE31),[11]Listados!$J$18:$K$24,2,TRUE)</f>
        <v>Posible</v>
      </c>
      <c r="BH30" s="297" t="str">
        <f>+VLOOKUP(MIN(BF30,BF31),[11]Listados!$J$26:$K$32,2,TRUE)</f>
        <v>Menor</v>
      </c>
      <c r="BI30" s="297" t="str">
        <f>IF(AND(BG30&lt;&gt;"",BH30&lt;&gt;""),VLOOKUP(BG30&amp;BH30,[11]Listados!$M$3:$N$27,2,FALSE),"")</f>
        <v>Moderado</v>
      </c>
      <c r="BJ30" s="298" t="s">
        <v>500</v>
      </c>
      <c r="BK30" s="304">
        <v>45323</v>
      </c>
      <c r="BL30" s="298" t="s">
        <v>482</v>
      </c>
      <c r="BM30" s="305" t="s">
        <v>501</v>
      </c>
    </row>
    <row r="31" spans="1:65" ht="115.5" thickBot="1">
      <c r="A31" s="355"/>
      <c r="B31" s="314"/>
      <c r="C31" s="308"/>
      <c r="D31" s="310"/>
      <c r="E31" s="120" t="s">
        <v>181</v>
      </c>
      <c r="F31" s="312"/>
      <c r="G31" s="312"/>
      <c r="H31" s="121" t="s">
        <v>184</v>
      </c>
      <c r="I31" s="122" t="s">
        <v>202</v>
      </c>
      <c r="J31" s="121" t="s">
        <v>469</v>
      </c>
      <c r="K31" s="123" t="s">
        <v>17</v>
      </c>
      <c r="L31" s="124" t="s">
        <v>214</v>
      </c>
      <c r="M31" s="314"/>
      <c r="N31" s="316"/>
      <c r="O31" s="318"/>
      <c r="P31" s="316"/>
      <c r="Q31" s="302"/>
      <c r="R31" s="302"/>
      <c r="S31" s="125" t="s">
        <v>224</v>
      </c>
      <c r="T31" s="125" t="s">
        <v>276</v>
      </c>
      <c r="U31" s="126" t="s">
        <v>502</v>
      </c>
      <c r="V31" s="126" t="s">
        <v>469</v>
      </c>
      <c r="W31" s="127" t="s">
        <v>21</v>
      </c>
      <c r="X31" s="125" t="s">
        <v>119</v>
      </c>
      <c r="Y31" s="125">
        <f t="shared" si="3"/>
        <v>15</v>
      </c>
      <c r="Z31" s="125" t="s">
        <v>119</v>
      </c>
      <c r="AA31" s="125">
        <f t="shared" si="4"/>
        <v>15</v>
      </c>
      <c r="AB31" s="125" t="s">
        <v>119</v>
      </c>
      <c r="AC31" s="125">
        <f t="shared" si="5"/>
        <v>15</v>
      </c>
      <c r="AD31" s="125" t="s">
        <v>119</v>
      </c>
      <c r="AE31" s="125">
        <f t="shared" si="6"/>
        <v>15</v>
      </c>
      <c r="AF31" s="125" t="s">
        <v>119</v>
      </c>
      <c r="AG31" s="125">
        <f t="shared" si="7"/>
        <v>15</v>
      </c>
      <c r="AH31" s="125" t="s">
        <v>119</v>
      </c>
      <c r="AI31" s="125">
        <f t="shared" si="8"/>
        <v>15</v>
      </c>
      <c r="AJ31" s="125" t="s">
        <v>120</v>
      </c>
      <c r="AK31" s="128">
        <f t="shared" ref="AK31" si="41">+IF(AJ31="Completa",10,IF(AJ31="Incompleta",5,""))</f>
        <v>10</v>
      </c>
      <c r="AL31" s="129">
        <f t="shared" si="38"/>
        <v>100</v>
      </c>
      <c r="AM31" s="129" t="str">
        <f t="shared" si="39"/>
        <v>Fuerte</v>
      </c>
      <c r="AN31" s="193" t="s">
        <v>353</v>
      </c>
      <c r="AO31" s="194">
        <f>IFERROR(VLOOKUP(AN31,'[11]Seguridad Información'!$C$61:$D$63,2,0),"")</f>
        <v>60</v>
      </c>
      <c r="AP31" s="193" t="s">
        <v>350</v>
      </c>
      <c r="AQ31" s="194">
        <f>IFERROR(VLOOKUP(AP31,'[11]Seguridad Información'!$E$61:$F$64,2,0),"")</f>
        <v>100</v>
      </c>
      <c r="AR31" s="193" t="s">
        <v>355</v>
      </c>
      <c r="AS31" s="194">
        <f>IFERROR(VLOOKUP(AR31,'[11]Seguridad Información'!$G$61:$H$64,2,0),"")</f>
        <v>60</v>
      </c>
      <c r="AT31" s="193" t="s">
        <v>352</v>
      </c>
      <c r="AU31" s="195">
        <f>IFERROR(VLOOKUP(AT31,'[11]Seguridad Información'!$I$61:$J$65,2,0),"")</f>
        <v>100</v>
      </c>
      <c r="AV31" s="133"/>
      <c r="AW31" s="134">
        <f t="shared" ref="AW31" si="42">IFERROR(AVERAGE(AO31,AQ31,AS31,AU31),"")</f>
        <v>80</v>
      </c>
      <c r="AX31" s="129" t="str">
        <f t="shared" ref="AX31" si="43">IF(AW31&lt;=80,"Débil",IF(AW31&lt;=90,"Moderado",IF(AW31=100,"Fuerte","")))</f>
        <v>Débil</v>
      </c>
      <c r="AY31" s="134" t="str">
        <f>IFERROR(VLOOKUP((CONCATENATE(AM31,AX31)),[11]Listados!$U$3:$V$11,2,FALSE),"")</f>
        <v>Débil</v>
      </c>
      <c r="AZ31" s="129">
        <f t="shared" si="40"/>
        <v>0</v>
      </c>
      <c r="BA31" s="324"/>
      <c r="BB31" s="324"/>
      <c r="BC31" s="135">
        <f>+IF(AND(W31="Preventivo",BB30="Fuerte"),2,IF(AND(W31="Preventivo",BB30="Moderado"),1,0))</f>
        <v>0</v>
      </c>
      <c r="BD31" s="135">
        <f>+IF(AND(W31="Detectivo/Correctivo",$BB30="Fuerte"),2,IF(AND(W31="Detectivo/Correctivo",$BB31="Moderado"),1,IF(AND(W31="Preventivo",$BB30="Fuerte"),1,0)))</f>
        <v>0</v>
      </c>
      <c r="BE31" s="135">
        <f>+N30-BC31</f>
        <v>3</v>
      </c>
      <c r="BF31" s="135">
        <f>+P30-BD31</f>
        <v>2</v>
      </c>
      <c r="BG31" s="302"/>
      <c r="BH31" s="302"/>
      <c r="BI31" s="302"/>
      <c r="BJ31" s="303"/>
      <c r="BK31" s="303"/>
      <c r="BL31" s="303"/>
      <c r="BM31" s="306"/>
    </row>
    <row r="32" spans="1:65" ht="114.75">
      <c r="A32" s="319">
        <v>1</v>
      </c>
      <c r="B32" s="313" t="s">
        <v>69</v>
      </c>
      <c r="C32" s="307" t="str">
        <f>IFERROR(VLOOKUP(B32,[12]Listados!B$3:C$20,2,FALSE),"")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32" s="309" t="s">
        <v>503</v>
      </c>
      <c r="E32" s="107" t="s">
        <v>181</v>
      </c>
      <c r="F32" s="311" t="s">
        <v>181</v>
      </c>
      <c r="G32" s="311" t="s">
        <v>198</v>
      </c>
      <c r="H32" s="108" t="s">
        <v>184</v>
      </c>
      <c r="I32" s="108" t="s">
        <v>202</v>
      </c>
      <c r="J32" s="108" t="s">
        <v>474</v>
      </c>
      <c r="K32" s="109" t="s">
        <v>17</v>
      </c>
      <c r="L32" s="109" t="s">
        <v>214</v>
      </c>
      <c r="M32" s="313" t="s">
        <v>22</v>
      </c>
      <c r="N32" s="315">
        <f>+VLOOKUP(M32,[12]Listados!$K$8:$L$12,2,0)</f>
        <v>1</v>
      </c>
      <c r="O32" s="317" t="s">
        <v>55</v>
      </c>
      <c r="P32" s="315">
        <f>+VLOOKUP(O32,[12]Listados!$K$13:$L$17,2,0)</f>
        <v>4</v>
      </c>
      <c r="Q32" s="297" t="str">
        <f>IF(AND(M32&lt;&gt;"",O32&lt;&gt;""),VLOOKUP(M32&amp;O32,[12]Listados!$M$3:$N$27,2,FALSE),"")</f>
        <v>Alto</v>
      </c>
      <c r="R32" s="297" t="str">
        <f>+VLOOKUP(Q32,[12]Listados!$P$3:$Q$6,2,FALSE)</f>
        <v>Reducir el riesgo</v>
      </c>
      <c r="S32" s="110" t="s">
        <v>224</v>
      </c>
      <c r="T32" s="110" t="s">
        <v>276</v>
      </c>
      <c r="U32" s="111" t="s">
        <v>504</v>
      </c>
      <c r="V32" s="111" t="s">
        <v>474</v>
      </c>
      <c r="W32" s="112" t="s">
        <v>21</v>
      </c>
      <c r="X32" s="110" t="s">
        <v>119</v>
      </c>
      <c r="Y32" s="110">
        <f t="shared" si="3"/>
        <v>15</v>
      </c>
      <c r="Z32" s="110" t="s">
        <v>119</v>
      </c>
      <c r="AA32" s="110">
        <f t="shared" si="4"/>
        <v>15</v>
      </c>
      <c r="AB32" s="110" t="s">
        <v>119</v>
      </c>
      <c r="AC32" s="110">
        <f t="shared" si="5"/>
        <v>15</v>
      </c>
      <c r="AD32" s="110" t="s">
        <v>119</v>
      </c>
      <c r="AE32" s="110">
        <f t="shared" si="6"/>
        <v>15</v>
      </c>
      <c r="AF32" s="110" t="s">
        <v>119</v>
      </c>
      <c r="AG32" s="110">
        <f t="shared" si="7"/>
        <v>15</v>
      </c>
      <c r="AH32" s="110" t="s">
        <v>119</v>
      </c>
      <c r="AI32" s="110">
        <f t="shared" si="8"/>
        <v>15</v>
      </c>
      <c r="AJ32" s="110" t="s">
        <v>120</v>
      </c>
      <c r="AK32" s="113">
        <f>+IF(AJ32="Completa",10,IF(AJ32="Incompleta",5,""))</f>
        <v>10</v>
      </c>
      <c r="AL32" s="114">
        <f t="shared" si="38"/>
        <v>100</v>
      </c>
      <c r="AM32" s="114" t="str">
        <f t="shared" si="39"/>
        <v>Fuerte</v>
      </c>
      <c r="AN32" s="140" t="s">
        <v>353</v>
      </c>
      <c r="AO32" s="140">
        <f>IFERROR(VLOOKUP(AN32,'[12]Seguridad Información'!$C$61:$D$63,2,0),"")</f>
        <v>60</v>
      </c>
      <c r="AP32" s="140" t="s">
        <v>350</v>
      </c>
      <c r="AQ32" s="140">
        <f>IFERROR(VLOOKUP(AP32,'[12]Seguridad Información'!$E$61:$F$64,2,0),"")</f>
        <v>100</v>
      </c>
      <c r="AR32" s="140" t="s">
        <v>355</v>
      </c>
      <c r="AS32" s="140">
        <f>IFERROR(VLOOKUP(AR32,'[12]Seguridad Información'!$G$61:$H$64,2,0),"")</f>
        <v>60</v>
      </c>
      <c r="AT32" s="140" t="s">
        <v>352</v>
      </c>
      <c r="AU32" s="182">
        <f>IFERROR(VLOOKUP(AT32,'[12]Seguridad Información'!$I$61:$J$65,2,0),"")</f>
        <v>100</v>
      </c>
      <c r="AV32" s="117"/>
      <c r="AW32" s="118">
        <f>IFERROR(AVERAGE(AO32,AQ32,AS32,AU32),"")</f>
        <v>80</v>
      </c>
      <c r="AX32" s="114" t="str">
        <f>IF(AW32&lt;=80,"Débil",IF(AW32&lt;=90,"Moderado",IF(AW32=100,"Fuerte","")))</f>
        <v>Débil</v>
      </c>
      <c r="AY32" s="118" t="str">
        <f>IFERROR(VLOOKUP((CONCATENATE(AM32,AX32)),[12]Listados!$U$3:$V$11,2,FALSE),"")</f>
        <v>Débil</v>
      </c>
      <c r="AZ32" s="114">
        <f t="shared" si="40"/>
        <v>0</v>
      </c>
      <c r="BA32" s="323">
        <f>AVERAGE(AZ32:AZ33)</f>
        <v>0</v>
      </c>
      <c r="BB32" s="323" t="str">
        <f>IF(BA32&lt;=50, "Débil", IF(BA32&lt;=99,"Moderado","Fuerte"))</f>
        <v>Débil</v>
      </c>
      <c r="BC32" s="119">
        <f>+IF(AND(W32="Preventivo",BB32="Fuerte"),2,IF(AND(W32="Preventivo",BB32="Moderado"),1,0))</f>
        <v>0</v>
      </c>
      <c r="BD32" s="119">
        <f>+IF(AND(W32="Detectivo/Correctivo",$BB32="Fuerte"),2,IF(AND(W32="Detectivo/Correctivo",$BB32="Moderado"),1,IF(AND(W32="Preventivo",$BB32="Fuerte"),1,0)))</f>
        <v>0</v>
      </c>
      <c r="BE32" s="119">
        <f>+N32-BC32</f>
        <v>1</v>
      </c>
      <c r="BF32" s="119">
        <f>+P32-BD32</f>
        <v>4</v>
      </c>
      <c r="BG32" s="297" t="str">
        <f>+VLOOKUP(MIN(BE32,BE33),[12]Listados!$J$18:$K$24,2,TRUE)</f>
        <v>Rara Vez</v>
      </c>
      <c r="BH32" s="297" t="str">
        <f>+VLOOKUP(MIN(BF32,BF33),[12]Listados!$J$26:$K$32,2,TRUE)</f>
        <v>Mayor</v>
      </c>
      <c r="BI32" s="297" t="str">
        <f>IF(AND(BG32&lt;&gt;"",BH32&lt;&gt;""),VLOOKUP(BG32&amp;BH32,[12]Listados!$M$3:$N$27,2,FALSE),"")</f>
        <v>Alto</v>
      </c>
      <c r="BJ32" s="298" t="s">
        <v>505</v>
      </c>
      <c r="BK32" s="304">
        <v>45323</v>
      </c>
      <c r="BL32" s="298" t="s">
        <v>496</v>
      </c>
      <c r="BM32" s="305" t="s">
        <v>501</v>
      </c>
    </row>
    <row r="33" spans="1:65" ht="115.5" thickBot="1">
      <c r="A33" s="355"/>
      <c r="B33" s="314"/>
      <c r="C33" s="308"/>
      <c r="D33" s="310"/>
      <c r="E33" s="120" t="s">
        <v>180</v>
      </c>
      <c r="F33" s="312"/>
      <c r="G33" s="312"/>
      <c r="H33" s="121" t="s">
        <v>186</v>
      </c>
      <c r="I33" s="122" t="s">
        <v>201</v>
      </c>
      <c r="J33" s="121" t="s">
        <v>204</v>
      </c>
      <c r="K33" s="123" t="s">
        <v>17</v>
      </c>
      <c r="L33" s="124" t="s">
        <v>214</v>
      </c>
      <c r="M33" s="314"/>
      <c r="N33" s="316"/>
      <c r="O33" s="318"/>
      <c r="P33" s="316"/>
      <c r="Q33" s="302"/>
      <c r="R33" s="302"/>
      <c r="S33" s="125" t="s">
        <v>221</v>
      </c>
      <c r="T33" s="125" t="s">
        <v>297</v>
      </c>
      <c r="U33" s="126" t="s">
        <v>506</v>
      </c>
      <c r="V33" s="126" t="s">
        <v>210</v>
      </c>
      <c r="W33" s="127" t="s">
        <v>21</v>
      </c>
      <c r="X33" s="125" t="s">
        <v>119</v>
      </c>
      <c r="Y33" s="125">
        <f t="shared" si="3"/>
        <v>15</v>
      </c>
      <c r="Z33" s="125" t="s">
        <v>119</v>
      </c>
      <c r="AA33" s="125">
        <f t="shared" si="4"/>
        <v>15</v>
      </c>
      <c r="AB33" s="125" t="s">
        <v>119</v>
      </c>
      <c r="AC33" s="125">
        <f t="shared" si="5"/>
        <v>15</v>
      </c>
      <c r="AD33" s="125" t="s">
        <v>119</v>
      </c>
      <c r="AE33" s="125">
        <f t="shared" si="6"/>
        <v>15</v>
      </c>
      <c r="AF33" s="125" t="s">
        <v>119</v>
      </c>
      <c r="AG33" s="125">
        <f t="shared" si="7"/>
        <v>15</v>
      </c>
      <c r="AH33" s="125" t="s">
        <v>119</v>
      </c>
      <c r="AI33" s="125">
        <f t="shared" si="8"/>
        <v>15</v>
      </c>
      <c r="AJ33" s="125" t="s">
        <v>120</v>
      </c>
      <c r="AK33" s="128">
        <f t="shared" ref="AK33" si="44">+IF(AJ33="Completa",10,IF(AJ33="Incompleta",5,""))</f>
        <v>10</v>
      </c>
      <c r="AL33" s="129">
        <f t="shared" si="38"/>
        <v>100</v>
      </c>
      <c r="AM33" s="129" t="str">
        <f t="shared" si="39"/>
        <v>Fuerte</v>
      </c>
      <c r="AN33" s="148" t="s">
        <v>357</v>
      </c>
      <c r="AO33" s="185">
        <f>IFERROR(VLOOKUP(AN33,'[12]Seguridad Información'!$C$61:$D$63,2,0),"")</f>
        <v>20</v>
      </c>
      <c r="AP33" s="148" t="s">
        <v>350</v>
      </c>
      <c r="AQ33" s="185">
        <f>IFERROR(VLOOKUP(AP33,'[12]Seguridad Información'!$E$61:$F$64,2,0),"")</f>
        <v>100</v>
      </c>
      <c r="AR33" s="148" t="s">
        <v>351</v>
      </c>
      <c r="AS33" s="185">
        <f>IFERROR(VLOOKUP(AR33,'[12]Seguridad Información'!$G$61:$H$64,2,0),"")</f>
        <v>100</v>
      </c>
      <c r="AT33" s="148" t="s">
        <v>352</v>
      </c>
      <c r="AU33" s="196">
        <f>IFERROR(VLOOKUP(AT33,'[12]Seguridad Información'!$I$61:$J$65,2,0),"")</f>
        <v>100</v>
      </c>
      <c r="AV33" s="133"/>
      <c r="AW33" s="134">
        <f t="shared" ref="AW33" si="45">IFERROR(AVERAGE(AO33,AQ33,AS33,AU33),"")</f>
        <v>80</v>
      </c>
      <c r="AX33" s="129" t="str">
        <f t="shared" ref="AX33" si="46">IF(AW33&lt;=80,"Débil",IF(AW33&lt;=90,"Moderado",IF(AW33=100,"Fuerte","")))</f>
        <v>Débil</v>
      </c>
      <c r="AY33" s="134" t="str">
        <f>IFERROR(VLOOKUP((CONCATENATE(AM33,AX33)),[12]Listados!$U$3:$V$11,2,FALSE),"")</f>
        <v>Débil</v>
      </c>
      <c r="AZ33" s="129">
        <f t="shared" si="40"/>
        <v>0</v>
      </c>
      <c r="BA33" s="324"/>
      <c r="BB33" s="324"/>
      <c r="BC33" s="135">
        <f>+IF(AND(W33="Preventivo",BB32="Fuerte"),2,IF(AND(W33="Preventivo",BB32="Moderado"),1,0))</f>
        <v>0</v>
      </c>
      <c r="BD33" s="135">
        <f>+IF(AND(W33="Detectivo/Correctivo",$BB32="Fuerte"),2,IF(AND(W33="Detectivo/Correctivo",$BB33="Moderado"),1,IF(AND(W33="Preventivo",$BB32="Fuerte"),1,0)))</f>
        <v>0</v>
      </c>
      <c r="BE33" s="135">
        <f>+N32-BC33</f>
        <v>1</v>
      </c>
      <c r="BF33" s="135">
        <f>+P32-BD33</f>
        <v>4</v>
      </c>
      <c r="BG33" s="302"/>
      <c r="BH33" s="302"/>
      <c r="BI33" s="302"/>
      <c r="BJ33" s="303"/>
      <c r="BK33" s="303"/>
      <c r="BL33" s="303"/>
      <c r="BM33" s="306"/>
    </row>
    <row r="34" spans="1:65" ht="63.75">
      <c r="A34" s="319">
        <v>1</v>
      </c>
      <c r="B34" s="313" t="s">
        <v>95</v>
      </c>
      <c r="C34" s="307" t="str">
        <f>IFERROR(VLOOKUP(B34,[13]Listados!B$3:C$20,2,FALSE),"")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34" s="309" t="s">
        <v>507</v>
      </c>
      <c r="E34" s="107" t="s">
        <v>181</v>
      </c>
      <c r="F34" s="311" t="s">
        <v>180</v>
      </c>
      <c r="G34" s="311" t="s">
        <v>197</v>
      </c>
      <c r="H34" s="108" t="s">
        <v>187</v>
      </c>
      <c r="I34" s="108" t="s">
        <v>201</v>
      </c>
      <c r="J34" s="108" t="s">
        <v>204</v>
      </c>
      <c r="K34" s="109" t="s">
        <v>17</v>
      </c>
      <c r="L34" s="109" t="s">
        <v>214</v>
      </c>
      <c r="M34" s="313" t="s">
        <v>32</v>
      </c>
      <c r="N34" s="315">
        <f>+VLOOKUP(M34,[13]Listados!$K$8:$L$12,2,0)</f>
        <v>2</v>
      </c>
      <c r="O34" s="317" t="s">
        <v>33</v>
      </c>
      <c r="P34" s="315">
        <f>+VLOOKUP(O34,[13]Listados!$K$13:$L$17,2,0)</f>
        <v>2</v>
      </c>
      <c r="Q34" s="297" t="str">
        <f>IF(AND(M34&lt;&gt;"",O34&lt;&gt;""),VLOOKUP(M34&amp;O34,[13]Listados!$M$3:$N$27,2,FALSE),"")</f>
        <v>Bajo</v>
      </c>
      <c r="R34" s="297" t="str">
        <f>+VLOOKUP(Q34,[13]Listados!$P$3:$Q$6,2,FALSE)</f>
        <v>Asumir el riesgo</v>
      </c>
      <c r="S34" s="110" t="s">
        <v>220</v>
      </c>
      <c r="T34" s="110" t="s">
        <v>273</v>
      </c>
      <c r="U34" s="111" t="s">
        <v>459</v>
      </c>
      <c r="V34" s="111" t="s">
        <v>204</v>
      </c>
      <c r="W34" s="112" t="s">
        <v>21</v>
      </c>
      <c r="X34" s="110" t="s">
        <v>119</v>
      </c>
      <c r="Y34" s="110">
        <f t="shared" si="3"/>
        <v>15</v>
      </c>
      <c r="Z34" s="110" t="s">
        <v>119</v>
      </c>
      <c r="AA34" s="110">
        <f t="shared" si="4"/>
        <v>15</v>
      </c>
      <c r="AB34" s="110" t="s">
        <v>119</v>
      </c>
      <c r="AC34" s="110">
        <f t="shared" si="5"/>
        <v>15</v>
      </c>
      <c r="AD34" s="110" t="s">
        <v>123</v>
      </c>
      <c r="AE34" s="110" t="str">
        <f t="shared" si="6"/>
        <v/>
      </c>
      <c r="AF34" s="110" t="s">
        <v>119</v>
      </c>
      <c r="AG34" s="110">
        <f t="shared" si="7"/>
        <v>15</v>
      </c>
      <c r="AH34" s="110" t="s">
        <v>119</v>
      </c>
      <c r="AI34" s="110">
        <f t="shared" si="8"/>
        <v>15</v>
      </c>
      <c r="AJ34" s="110" t="s">
        <v>120</v>
      </c>
      <c r="AK34" s="113">
        <f>+IF(AJ34="Completa",10,IF(AJ34="Incompleta",5,""))</f>
        <v>10</v>
      </c>
      <c r="AL34" s="114">
        <f t="shared" si="38"/>
        <v>85</v>
      </c>
      <c r="AM34" s="114" t="str">
        <f t="shared" si="39"/>
        <v>Débil</v>
      </c>
      <c r="AN34" s="187" t="s">
        <v>357</v>
      </c>
      <c r="AO34" s="187">
        <f>IFERROR(VLOOKUP(AN34,'[13]Seguridad Información'!$C$61:$D$63,2,0),"")</f>
        <v>20</v>
      </c>
      <c r="AP34" s="187" t="s">
        <v>350</v>
      </c>
      <c r="AQ34" s="187">
        <f>IFERROR(VLOOKUP(AP34,'[13]Seguridad Información'!$E$61:$F$64,2,0),"")</f>
        <v>100</v>
      </c>
      <c r="AR34" s="187" t="s">
        <v>355</v>
      </c>
      <c r="AS34" s="187">
        <f>IFERROR(VLOOKUP(AR34,'[13]Seguridad Información'!$G$61:$H$64,2,0),"")</f>
        <v>60</v>
      </c>
      <c r="AT34" s="187" t="s">
        <v>352</v>
      </c>
      <c r="AU34" s="117">
        <f>IFERROR(VLOOKUP(AT34,'[13]Seguridad Información'!$I$61:$J$65,2,0),"")</f>
        <v>100</v>
      </c>
      <c r="AV34" s="117"/>
      <c r="AW34" s="118">
        <f>IFERROR(AVERAGE(AO34,AQ34,AS34,AU34),"")</f>
        <v>70</v>
      </c>
      <c r="AX34" s="114" t="str">
        <f>IF(AW34&lt;=80,"Débil",IF(AW34&lt;=90,"Moderado",IF(AW34=100,"Fuerte","")))</f>
        <v>Débil</v>
      </c>
      <c r="AY34" s="118" t="str">
        <f>IFERROR(VLOOKUP((CONCATENATE(AM34,AX34)),[13]Listados!$U$3:$V$11,2,FALSE),"")</f>
        <v>Débil</v>
      </c>
      <c r="AZ34" s="114">
        <f t="shared" si="40"/>
        <v>0</v>
      </c>
      <c r="BA34" s="323">
        <f>AVERAGE(AZ34:AZ35)</f>
        <v>0</v>
      </c>
      <c r="BB34" s="323" t="str">
        <f>IF(BA34&lt;=50, "Débil", IF(BA34&lt;=99,"Moderado","Fuerte"))</f>
        <v>Débil</v>
      </c>
      <c r="BC34" s="119">
        <f>+IF(AND(W34="Preventivo",BB34="Fuerte"),2,IF(AND(W34="Preventivo",BB34="Moderado"),1,0))</f>
        <v>0</v>
      </c>
      <c r="BD34" s="119">
        <f>+IF(AND(W34="Detectivo/Correctivo",$BB34="Fuerte"),2,IF(AND(W34="Detectivo/Correctivo",$BB34="Moderado"),1,IF(AND(W34="Preventivo",$BB34="Fuerte"),1,0)))</f>
        <v>0</v>
      </c>
      <c r="BE34" s="119">
        <f>+N34-BC34</f>
        <v>2</v>
      </c>
      <c r="BF34" s="119">
        <f>+P34-BD34</f>
        <v>2</v>
      </c>
      <c r="BG34" s="297" t="str">
        <f>+VLOOKUP(MIN(BE34,BE35),[13]Listados!$J$18:$K$24,2,TRUE)</f>
        <v>Improbable</v>
      </c>
      <c r="BH34" s="297" t="str">
        <f>+VLOOKUP(MIN(BF34,BF35),[13]Listados!$J$26:$K$32,2,TRUE)</f>
        <v>Menor</v>
      </c>
      <c r="BI34" s="297" t="str">
        <f>IF(AND(BG34&lt;&gt;"",BH34&lt;&gt;""),VLOOKUP(BG34&amp;BH34,[13]Listados!$M$3:$N$27,2,FALSE),"")</f>
        <v>Bajo</v>
      </c>
      <c r="BJ34" s="298"/>
      <c r="BK34" s="304"/>
      <c r="BL34" s="298"/>
      <c r="BM34" s="305"/>
    </row>
    <row r="35" spans="1:65" ht="115.5" thickBot="1">
      <c r="A35" s="355"/>
      <c r="B35" s="314"/>
      <c r="C35" s="308"/>
      <c r="D35" s="310"/>
      <c r="E35" s="120" t="s">
        <v>180</v>
      </c>
      <c r="F35" s="312"/>
      <c r="G35" s="312"/>
      <c r="H35" s="121" t="s">
        <v>186</v>
      </c>
      <c r="I35" s="122" t="s">
        <v>201</v>
      </c>
      <c r="J35" s="121" t="s">
        <v>210</v>
      </c>
      <c r="K35" s="123" t="s">
        <v>17</v>
      </c>
      <c r="L35" s="124" t="s">
        <v>214</v>
      </c>
      <c r="M35" s="314"/>
      <c r="N35" s="316"/>
      <c r="O35" s="318"/>
      <c r="P35" s="316"/>
      <c r="Q35" s="302"/>
      <c r="R35" s="302"/>
      <c r="S35" s="125" t="s">
        <v>224</v>
      </c>
      <c r="T35" s="125" t="s">
        <v>252</v>
      </c>
      <c r="U35" s="126" t="s">
        <v>508</v>
      </c>
      <c r="V35" s="126" t="s">
        <v>210</v>
      </c>
      <c r="W35" s="127" t="s">
        <v>21</v>
      </c>
      <c r="X35" s="125" t="s">
        <v>119</v>
      </c>
      <c r="Y35" s="125">
        <f t="shared" si="3"/>
        <v>15</v>
      </c>
      <c r="Z35" s="125" t="s">
        <v>119</v>
      </c>
      <c r="AA35" s="125">
        <f t="shared" si="4"/>
        <v>15</v>
      </c>
      <c r="AB35" s="125" t="s">
        <v>119</v>
      </c>
      <c r="AC35" s="125">
        <f t="shared" si="5"/>
        <v>15</v>
      </c>
      <c r="AD35" s="125" t="s">
        <v>119</v>
      </c>
      <c r="AE35" s="125">
        <f t="shared" si="6"/>
        <v>15</v>
      </c>
      <c r="AF35" s="125" t="s">
        <v>119</v>
      </c>
      <c r="AG35" s="125">
        <f t="shared" si="7"/>
        <v>15</v>
      </c>
      <c r="AH35" s="125" t="s">
        <v>119</v>
      </c>
      <c r="AI35" s="125">
        <f t="shared" si="8"/>
        <v>15</v>
      </c>
      <c r="AJ35" s="125" t="s">
        <v>120</v>
      </c>
      <c r="AK35" s="128">
        <f t="shared" ref="AK35" si="47">+IF(AJ35="Completa",10,IF(AJ35="Incompleta",5,""))</f>
        <v>10</v>
      </c>
      <c r="AL35" s="129">
        <f t="shared" si="38"/>
        <v>100</v>
      </c>
      <c r="AM35" s="129" t="str">
        <f t="shared" si="39"/>
        <v>Fuerte</v>
      </c>
      <c r="AN35" s="188" t="s">
        <v>357</v>
      </c>
      <c r="AO35" s="189">
        <f>IFERROR(VLOOKUP(AN35,'[13]Seguridad Información'!$C$61:$D$63,2,0),"")</f>
        <v>20</v>
      </c>
      <c r="AP35" s="188" t="s">
        <v>350</v>
      </c>
      <c r="AQ35" s="189">
        <f>IFERROR(VLOOKUP(AP35,'[13]Seguridad Información'!$E$61:$F$64,2,0),"")</f>
        <v>100</v>
      </c>
      <c r="AR35" s="188" t="s">
        <v>355</v>
      </c>
      <c r="AS35" s="189">
        <f>IFERROR(VLOOKUP(AR35,'[13]Seguridad Información'!$G$61:$H$64,2,0),"")</f>
        <v>60</v>
      </c>
      <c r="AT35" s="188" t="s">
        <v>352</v>
      </c>
      <c r="AU35" s="133">
        <f>IFERROR(VLOOKUP(AT35,'[13]Seguridad Información'!$I$61:$J$65,2,0),"")</f>
        <v>100</v>
      </c>
      <c r="AV35" s="133"/>
      <c r="AW35" s="134">
        <f t="shared" ref="AW35" si="48">IFERROR(AVERAGE(AO35,AQ35,AS35,AU35),"")</f>
        <v>70</v>
      </c>
      <c r="AX35" s="129" t="str">
        <f t="shared" ref="AX35" si="49">IF(AW35&lt;=80,"Débil",IF(AW35&lt;=90,"Moderado",IF(AW35=100,"Fuerte","")))</f>
        <v>Débil</v>
      </c>
      <c r="AY35" s="134" t="str">
        <f>IFERROR(VLOOKUP((CONCATENATE(AM35,AX35)),[13]Listados!$U$3:$V$11,2,FALSE),"")</f>
        <v>Débil</v>
      </c>
      <c r="AZ35" s="129">
        <f t="shared" si="40"/>
        <v>0</v>
      </c>
      <c r="BA35" s="324"/>
      <c r="BB35" s="324"/>
      <c r="BC35" s="135">
        <f>+IF(AND(W35="Preventivo",BB34="Fuerte"),2,IF(AND(W35="Preventivo",BB34="Moderado"),1,0))</f>
        <v>0</v>
      </c>
      <c r="BD35" s="135">
        <f>+IF(AND(W35="Detectivo/Correctivo",$BB34="Fuerte"),2,IF(AND(W35="Detectivo/Correctivo",$BB35="Moderado"),1,IF(AND(W35="Preventivo",$BB34="Fuerte"),1,0)))</f>
        <v>0</v>
      </c>
      <c r="BE35" s="135">
        <f>+N34-BC35</f>
        <v>2</v>
      </c>
      <c r="BF35" s="135">
        <f>+P34-BD35</f>
        <v>2</v>
      </c>
      <c r="BG35" s="302"/>
      <c r="BH35" s="302"/>
      <c r="BI35" s="302"/>
      <c r="BJ35" s="303"/>
      <c r="BK35" s="303"/>
      <c r="BL35" s="303"/>
      <c r="BM35" s="306"/>
    </row>
    <row r="36" spans="1:65" ht="114.75">
      <c r="A36" s="329">
        <v>1</v>
      </c>
      <c r="B36" s="330" t="s">
        <v>61</v>
      </c>
      <c r="C36" s="331" t="str">
        <f>IFERROR(VLOOKUP(B36,[14]Listados!B$3:C$20,2,FALSE),"")</f>
        <v>Orientar la gestión del Ministerio de Justicia y del Derecho y de las entidades adscritas para que las acciones se deriven de una  planeación eficiente y articulada que optimice el uso de los recursos en el logro de los objetivos institucionales</v>
      </c>
      <c r="D36" s="309" t="s">
        <v>468</v>
      </c>
      <c r="E36" s="40" t="s">
        <v>181</v>
      </c>
      <c r="F36" s="358" t="s">
        <v>180</v>
      </c>
      <c r="G36" s="358" t="s">
        <v>197</v>
      </c>
      <c r="H36" s="22" t="s">
        <v>187</v>
      </c>
      <c r="I36" s="22" t="s">
        <v>201</v>
      </c>
      <c r="J36" s="22" t="s">
        <v>210</v>
      </c>
      <c r="K36" s="23" t="s">
        <v>17</v>
      </c>
      <c r="L36" s="23" t="s">
        <v>214</v>
      </c>
      <c r="M36" s="330" t="s">
        <v>32</v>
      </c>
      <c r="N36" s="365">
        <f>+VLOOKUP(M36,[14]Listados!$K$8:$L$12,2,0)</f>
        <v>2</v>
      </c>
      <c r="O36" s="374" t="s">
        <v>33</v>
      </c>
      <c r="P36" s="365">
        <f>+VLOOKUP(O36,[14]Listados!$K$13:$L$17,2,0)</f>
        <v>2</v>
      </c>
      <c r="Q36" s="361" t="str">
        <f>IF(AND(M36&lt;&gt;"",O36&lt;&gt;""),VLOOKUP(M36&amp;O36,[14]Listados!$M$3:$N$27,2,FALSE),"")</f>
        <v>Bajo</v>
      </c>
      <c r="R36" s="361" t="str">
        <f>+VLOOKUP(Q36,[14]Listados!$P$3:$Q$6,2,FALSE)</f>
        <v>Asumir el riesgo</v>
      </c>
      <c r="S36" s="97" t="s">
        <v>224</v>
      </c>
      <c r="T36" s="97" t="s">
        <v>276</v>
      </c>
      <c r="U36" s="48" t="s">
        <v>470</v>
      </c>
      <c r="V36" s="48" t="s">
        <v>210</v>
      </c>
      <c r="W36" s="49" t="s">
        <v>21</v>
      </c>
      <c r="X36" s="97" t="s">
        <v>119</v>
      </c>
      <c r="Y36" s="460">
        <f t="shared" si="3"/>
        <v>15</v>
      </c>
      <c r="Z36" s="97" t="s">
        <v>119</v>
      </c>
      <c r="AA36" s="460">
        <f t="shared" si="4"/>
        <v>15</v>
      </c>
      <c r="AB36" s="97" t="s">
        <v>119</v>
      </c>
      <c r="AC36" s="460">
        <f t="shared" si="5"/>
        <v>15</v>
      </c>
      <c r="AD36" s="97" t="s">
        <v>119</v>
      </c>
      <c r="AE36" s="460">
        <f t="shared" si="6"/>
        <v>15</v>
      </c>
      <c r="AF36" s="97" t="s">
        <v>119</v>
      </c>
      <c r="AG36" s="460">
        <f t="shared" si="7"/>
        <v>15</v>
      </c>
      <c r="AH36" s="97" t="s">
        <v>119</v>
      </c>
      <c r="AI36" s="460">
        <f t="shared" si="8"/>
        <v>15</v>
      </c>
      <c r="AJ36" s="97" t="s">
        <v>120</v>
      </c>
      <c r="AK36" s="99">
        <f>+IF(AJ36="Completa",10,IF(AJ36="Incompleta",5,""))</f>
        <v>10</v>
      </c>
      <c r="AL36" s="103">
        <f t="shared" si="38"/>
        <v>100</v>
      </c>
      <c r="AM36" s="103" t="str">
        <f t="shared" si="39"/>
        <v>Fuerte</v>
      </c>
      <c r="AN36" s="106" t="s">
        <v>353</v>
      </c>
      <c r="AO36" s="86">
        <f>IFERROR(VLOOKUP(AN36,'[14]Seguridad Información'!$C$61:$D$63,2,0),"")</f>
        <v>60</v>
      </c>
      <c r="AP36" s="106" t="s">
        <v>350</v>
      </c>
      <c r="AQ36" s="86">
        <f>IFERROR(VLOOKUP(AP36,'[14]Seguridad Información'!$E$61:$F$64,2,0),"")</f>
        <v>100</v>
      </c>
      <c r="AR36" s="197" t="s">
        <v>355</v>
      </c>
      <c r="AS36" s="86">
        <f>IFERROR(VLOOKUP(AR36,'[14]Seguridad Información'!$G$61:$H$64,2,0),"")</f>
        <v>60</v>
      </c>
      <c r="AT36" s="190" t="s">
        <v>352</v>
      </c>
      <c r="AU36" s="50">
        <f>IFERROR(VLOOKUP(AT36,'[14]Seguridad Información'!$I$61:$J$65,2,0),"")</f>
        <v>100</v>
      </c>
      <c r="AV36" s="50"/>
      <c r="AW36" s="19">
        <f>IFERROR(AVERAGE(AO36,AQ36,AS36,AU36),"")</f>
        <v>80</v>
      </c>
      <c r="AX36" s="103" t="str">
        <f>IF(AW36&lt;=80,"Débil",IF(AW36&lt;=90,"Moderado",IF(AW36=100,"Fuerte","")))</f>
        <v>Débil</v>
      </c>
      <c r="AY36" s="19" t="str">
        <f>IFERROR(VLOOKUP((CONCATENATE(AM36,AX36)),[14]Listados!$U$3:$V$11,2,FALSE),"")</f>
        <v>Débil</v>
      </c>
      <c r="AZ36" s="103">
        <f t="shared" si="40"/>
        <v>0</v>
      </c>
      <c r="BA36" s="367">
        <f>AVERAGE(AZ36:AZ37)</f>
        <v>0</v>
      </c>
      <c r="BB36" s="367" t="str">
        <f>IF(BA36&lt;=50, "Débil", IF(BA36&lt;=99,"Moderado","Fuerte"))</f>
        <v>Débil</v>
      </c>
      <c r="BC36" s="51">
        <f>+IF(AND(W36="Preventivo",BB36="Fuerte"),2,IF(AND(W36="Preventivo",BB36="Moderado"),1,0))</f>
        <v>0</v>
      </c>
      <c r="BD36" s="51">
        <f>+IF(AND(W36="Detectivo/Correctivo",$BB36="Fuerte"),2,IF(AND(W36="Detectivo/Correctivo",$BB36="Moderado"),1,IF(AND(W36="Preventivo",$BB36="Fuerte"),1,0)))</f>
        <v>0</v>
      </c>
      <c r="BE36" s="51">
        <f>+N36-BC36</f>
        <v>2</v>
      </c>
      <c r="BF36" s="51">
        <f>+P36-BD36</f>
        <v>2</v>
      </c>
      <c r="BG36" s="361" t="str">
        <f>+VLOOKUP(MIN(BE36,BE37),[14]Listados!$J$18:$K$24,2,TRUE)</f>
        <v>Improbable</v>
      </c>
      <c r="BH36" s="361" t="str">
        <f>+VLOOKUP(MIN(BF36,BF37),[14]Listados!$J$26:$K$32,2,TRUE)</f>
        <v>Menor</v>
      </c>
      <c r="BI36" s="361" t="str">
        <f>IF(AND(BG36&lt;&gt;"",BH36&lt;&gt;""),VLOOKUP(BG36&amp;BH36,[14]Listados!$M$3:$N$27,2,FALSE),"")</f>
        <v>Bajo</v>
      </c>
      <c r="BJ36" s="364"/>
      <c r="BK36" s="359"/>
      <c r="BL36" s="364"/>
      <c r="BM36" s="360"/>
    </row>
    <row r="37" spans="1:65" ht="115.5" thickBot="1">
      <c r="A37" s="320"/>
      <c r="B37" s="455"/>
      <c r="C37" s="470"/>
      <c r="D37" s="321"/>
      <c r="E37" s="40" t="s">
        <v>180</v>
      </c>
      <c r="F37" s="452"/>
      <c r="G37" s="452"/>
      <c r="H37" s="471" t="s">
        <v>186</v>
      </c>
      <c r="I37" s="22" t="s">
        <v>201</v>
      </c>
      <c r="J37" s="471" t="s">
        <v>204</v>
      </c>
      <c r="K37" s="472" t="s">
        <v>17</v>
      </c>
      <c r="L37" s="23" t="s">
        <v>214</v>
      </c>
      <c r="M37" s="455"/>
      <c r="N37" s="456"/>
      <c r="O37" s="457"/>
      <c r="P37" s="456"/>
      <c r="Q37" s="459"/>
      <c r="R37" s="459"/>
      <c r="S37" s="460" t="s">
        <v>221</v>
      </c>
      <c r="T37" s="460" t="s">
        <v>297</v>
      </c>
      <c r="U37" s="461" t="s">
        <v>509</v>
      </c>
      <c r="V37" s="461" t="s">
        <v>204</v>
      </c>
      <c r="W37" s="473" t="s">
        <v>21</v>
      </c>
      <c r="X37" s="460" t="s">
        <v>119</v>
      </c>
      <c r="Y37" s="460">
        <f t="shared" si="3"/>
        <v>15</v>
      </c>
      <c r="Z37" s="460" t="s">
        <v>119</v>
      </c>
      <c r="AA37" s="460">
        <f t="shared" si="4"/>
        <v>15</v>
      </c>
      <c r="AB37" s="460" t="s">
        <v>119</v>
      </c>
      <c r="AC37" s="460">
        <f t="shared" si="5"/>
        <v>15</v>
      </c>
      <c r="AD37" s="460" t="s">
        <v>119</v>
      </c>
      <c r="AE37" s="460">
        <f t="shared" si="6"/>
        <v>15</v>
      </c>
      <c r="AF37" s="460" t="s">
        <v>119</v>
      </c>
      <c r="AG37" s="460">
        <f t="shared" si="7"/>
        <v>15</v>
      </c>
      <c r="AH37" s="460" t="s">
        <v>119</v>
      </c>
      <c r="AI37" s="460">
        <f t="shared" si="8"/>
        <v>15</v>
      </c>
      <c r="AJ37" s="460" t="s">
        <v>120</v>
      </c>
      <c r="AK37" s="462">
        <f t="shared" ref="AK37" si="50">+IF(AJ37="Completa",10,IF(AJ37="Incompleta",5,""))</f>
        <v>10</v>
      </c>
      <c r="AL37" s="463">
        <f t="shared" si="38"/>
        <v>100</v>
      </c>
      <c r="AM37" s="463" t="str">
        <f t="shared" si="39"/>
        <v>Fuerte</v>
      </c>
      <c r="AN37" s="465" t="s">
        <v>357</v>
      </c>
      <c r="AO37" s="86">
        <f>IFERROR(VLOOKUP(AN37,'[14]Seguridad Información'!$C$61:$D$63,2,0),"")</f>
        <v>20</v>
      </c>
      <c r="AP37" s="465" t="s">
        <v>350</v>
      </c>
      <c r="AQ37" s="86">
        <f>IFERROR(VLOOKUP(AP37,'[14]Seguridad Información'!$E$61:$F$64,2,0),"")</f>
        <v>100</v>
      </c>
      <c r="AR37" s="485" t="s">
        <v>351</v>
      </c>
      <c r="AS37" s="86">
        <f>IFERROR(VLOOKUP(AR37,'[14]Seguridad Información'!$G$61:$H$64,2,0),"")</f>
        <v>100</v>
      </c>
      <c r="AT37" s="486" t="s">
        <v>352</v>
      </c>
      <c r="AU37" s="444">
        <f>IFERROR(VLOOKUP(AT37,'[14]Seguridad Información'!$I$61:$J$65,2,0),"")</f>
        <v>100</v>
      </c>
      <c r="AV37" s="444"/>
      <c r="AW37" s="475">
        <f t="shared" ref="AW37" si="51">IFERROR(AVERAGE(AO37,AQ37,AS37,AU37),"")</f>
        <v>80</v>
      </c>
      <c r="AX37" s="463" t="str">
        <f t="shared" ref="AX37" si="52">IF(AW37&lt;=80,"Débil",IF(AW37&lt;=90,"Moderado",IF(AW37=100,"Fuerte","")))</f>
        <v>Débil</v>
      </c>
      <c r="AY37" s="475" t="str">
        <f>IFERROR(VLOOKUP((CONCATENATE(AM37,AX37)),[14]Listados!$U$3:$V$11,2,FALSE),"")</f>
        <v>Débil</v>
      </c>
      <c r="AZ37" s="463">
        <f t="shared" si="40"/>
        <v>0</v>
      </c>
      <c r="BA37" s="476"/>
      <c r="BB37" s="476"/>
      <c r="BC37" s="477">
        <f>+IF(AND(W37="Preventivo",BB36="Fuerte"),2,IF(AND(W37="Preventivo",BB36="Moderado"),1,0))</f>
        <v>0</v>
      </c>
      <c r="BD37" s="477">
        <f>+IF(AND(W37="Detectivo/Correctivo",$BB36="Fuerte"),2,IF(AND(W37="Detectivo/Correctivo",$BB37="Moderado"),1,IF(AND(W37="Preventivo",$BB36="Fuerte"),1,0)))</f>
        <v>0</v>
      </c>
      <c r="BE37" s="477">
        <f>+N36-BC37</f>
        <v>2</v>
      </c>
      <c r="BF37" s="477">
        <f>+P36-BD37</f>
        <v>2</v>
      </c>
      <c r="BG37" s="459"/>
      <c r="BH37" s="459"/>
      <c r="BI37" s="459"/>
      <c r="BJ37" s="469"/>
      <c r="BK37" s="469"/>
      <c r="BL37" s="469"/>
      <c r="BM37" s="300"/>
    </row>
    <row r="38" spans="1:65" ht="114.75">
      <c r="A38" s="329">
        <v>1</v>
      </c>
      <c r="B38" s="330" t="s">
        <v>69</v>
      </c>
      <c r="C38" s="331" t="str">
        <f>IFERROR(VLOOKUP(B38,[15]Listados!B$3:C$20,2,FALSE),"")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38" s="309" t="s">
        <v>510</v>
      </c>
      <c r="E38" s="40" t="s">
        <v>181</v>
      </c>
      <c r="F38" s="358" t="s">
        <v>181</v>
      </c>
      <c r="G38" s="358" t="s">
        <v>198</v>
      </c>
      <c r="H38" s="22" t="s">
        <v>184</v>
      </c>
      <c r="I38" s="22" t="s">
        <v>202</v>
      </c>
      <c r="J38" s="22" t="s">
        <v>474</v>
      </c>
      <c r="K38" s="23" t="s">
        <v>17</v>
      </c>
      <c r="L38" s="23" t="s">
        <v>214</v>
      </c>
      <c r="M38" s="330" t="s">
        <v>22</v>
      </c>
      <c r="N38" s="365">
        <f>+VLOOKUP(M38,[15]Listados!$K$8:$L$12,2,0)</f>
        <v>1</v>
      </c>
      <c r="O38" s="374" t="s">
        <v>37</v>
      </c>
      <c r="P38" s="365">
        <f>+VLOOKUP(O38,[15]Listados!$K$13:$L$17,2,0)</f>
        <v>3</v>
      </c>
      <c r="Q38" s="361" t="str">
        <f>IF(AND(M38&lt;&gt;"",O38&lt;&gt;""),VLOOKUP(M38&amp;O38,[15]Listados!$M$3:$N$27,2,FALSE),"")</f>
        <v>Moderado</v>
      </c>
      <c r="R38" s="361" t="str">
        <f>+VLOOKUP(Q38,[15]Listados!$P$3:$Q$6,2,FALSE)</f>
        <v xml:space="preserve"> Reducir el riesgo</v>
      </c>
      <c r="S38" s="97" t="s">
        <v>224</v>
      </c>
      <c r="T38" s="97" t="s">
        <v>276</v>
      </c>
      <c r="U38" s="48" t="s">
        <v>470</v>
      </c>
      <c r="V38" s="48" t="s">
        <v>474</v>
      </c>
      <c r="W38" s="49" t="s">
        <v>21</v>
      </c>
      <c r="X38" s="97" t="s">
        <v>119</v>
      </c>
      <c r="Y38" s="460">
        <f t="shared" si="3"/>
        <v>15</v>
      </c>
      <c r="Z38" s="97" t="s">
        <v>119</v>
      </c>
      <c r="AA38" s="460">
        <f t="shared" si="4"/>
        <v>15</v>
      </c>
      <c r="AB38" s="97" t="s">
        <v>119</v>
      </c>
      <c r="AC38" s="460">
        <f t="shared" si="5"/>
        <v>15</v>
      </c>
      <c r="AD38" s="97" t="s">
        <v>119</v>
      </c>
      <c r="AE38" s="460">
        <f t="shared" si="6"/>
        <v>15</v>
      </c>
      <c r="AF38" s="97" t="s">
        <v>119</v>
      </c>
      <c r="AG38" s="460">
        <f t="shared" si="7"/>
        <v>15</v>
      </c>
      <c r="AH38" s="97" t="s">
        <v>119</v>
      </c>
      <c r="AI38" s="460">
        <f t="shared" si="8"/>
        <v>15</v>
      </c>
      <c r="AJ38" s="97" t="s">
        <v>120</v>
      </c>
      <c r="AK38" s="99">
        <f>+IF(AJ38="Completa",10,IF(AJ38="Incompleta",5,""))</f>
        <v>10</v>
      </c>
      <c r="AL38" s="103">
        <f t="shared" si="38"/>
        <v>100</v>
      </c>
      <c r="AM38" s="103" t="str">
        <f t="shared" si="39"/>
        <v>Fuerte</v>
      </c>
      <c r="AN38" s="106" t="s">
        <v>353</v>
      </c>
      <c r="AO38" s="86">
        <f>IFERROR(VLOOKUP(AN38,'[15]Seguridad Información'!$C$61:$D$63,2,0),"")</f>
        <v>60</v>
      </c>
      <c r="AP38" s="106" t="s">
        <v>350</v>
      </c>
      <c r="AQ38" s="86">
        <f>IFERROR(VLOOKUP(AP38,'[15]Seguridad Información'!$E$61:$F$64,2,0),"")</f>
        <v>100</v>
      </c>
      <c r="AR38" s="106" t="s">
        <v>355</v>
      </c>
      <c r="AS38" s="86">
        <f>IFERROR(VLOOKUP(AR38,'[15]Seguridad Información'!$G$61:$H$64,2,0),"")</f>
        <v>60</v>
      </c>
      <c r="AT38" s="106" t="s">
        <v>352</v>
      </c>
      <c r="AU38" s="50">
        <f>IFERROR(VLOOKUP(AT38,'[15]Seguridad Información'!$I$61:$J$65,2,0),"")</f>
        <v>100</v>
      </c>
      <c r="AV38" s="50"/>
      <c r="AW38" s="19">
        <f>IFERROR(AVERAGE(AO38,AQ38,AS38,AU38),"")</f>
        <v>80</v>
      </c>
      <c r="AX38" s="103" t="str">
        <f>IF(AW38&lt;=80,"Débil",IF(AW38&lt;=90,"Moderado",IF(AW38=100,"Fuerte","")))</f>
        <v>Débil</v>
      </c>
      <c r="AY38" s="19" t="str">
        <f>IFERROR(VLOOKUP((CONCATENATE(AM38,AX38)),[15]Listados!$U$3:$V$11,2,FALSE),"")</f>
        <v>Débil</v>
      </c>
      <c r="AZ38" s="103">
        <f t="shared" si="40"/>
        <v>0</v>
      </c>
      <c r="BA38" s="367">
        <f>AVERAGE(AZ38:AZ40)</f>
        <v>0</v>
      </c>
      <c r="BB38" s="367" t="str">
        <f>IF(BA38&lt;=50, "Débil", IF(BA38&lt;=99,"Moderado","Fuerte"))</f>
        <v>Débil</v>
      </c>
      <c r="BC38" s="51">
        <f>+IF(AND(W38="Preventivo",BB38="Fuerte"),2,IF(AND(W38="Preventivo",BB38="Moderado"),1,0))</f>
        <v>0</v>
      </c>
      <c r="BD38" s="51">
        <f>+IF(AND(W38="Detectivo/Correctivo",$BB38="Fuerte"),2,IF(AND(W38="Detectivo/Correctivo",$BB38="Moderado"),1,IF(AND(W38="Preventivo",$BB38="Fuerte"),1,0)))</f>
        <v>0</v>
      </c>
      <c r="BE38" s="51">
        <f>+N38-BC38</f>
        <v>1</v>
      </c>
      <c r="BF38" s="51">
        <f>+P38-BD38</f>
        <v>3</v>
      </c>
      <c r="BG38" s="361" t="str">
        <f>+VLOOKUP(MIN(BE38:BE40),[15]Listados!$J$18:$K$24,2,TRUE)</f>
        <v>Rara Vez</v>
      </c>
      <c r="BH38" s="361" t="str">
        <f>+VLOOKUP(MIN(BF38:BF40),[15]Listados!$J$26:$K$32,2,TRUE)</f>
        <v>Moderado</v>
      </c>
      <c r="BI38" s="361" t="str">
        <f>IF(AND(BG38&lt;&gt;"",BH38&lt;&gt;""),VLOOKUP(BG38&amp;BH38,[15]Listados!$M$3:$N$27,2,FALSE),"")</f>
        <v>Moderado</v>
      </c>
      <c r="BJ38" s="362" t="s">
        <v>511</v>
      </c>
      <c r="BK38" s="359">
        <v>45383</v>
      </c>
      <c r="BL38" s="364" t="s">
        <v>463</v>
      </c>
      <c r="BM38" s="360" t="s">
        <v>501</v>
      </c>
    </row>
    <row r="39" spans="1:65" ht="63.75">
      <c r="A39" s="329"/>
      <c r="B39" s="330"/>
      <c r="C39" s="331"/>
      <c r="D39" s="372"/>
      <c r="E39" s="40" t="s">
        <v>181</v>
      </c>
      <c r="F39" s="358"/>
      <c r="G39" s="358"/>
      <c r="H39" s="22" t="s">
        <v>187</v>
      </c>
      <c r="I39" s="22" t="s">
        <v>201</v>
      </c>
      <c r="J39" s="22" t="s">
        <v>207</v>
      </c>
      <c r="K39" s="23" t="s">
        <v>31</v>
      </c>
      <c r="L39" s="23" t="s">
        <v>214</v>
      </c>
      <c r="M39" s="330"/>
      <c r="N39" s="365"/>
      <c r="O39" s="374"/>
      <c r="P39" s="365"/>
      <c r="Q39" s="361"/>
      <c r="R39" s="361"/>
      <c r="S39" s="97" t="s">
        <v>222</v>
      </c>
      <c r="T39" s="97" t="s">
        <v>275</v>
      </c>
      <c r="U39" s="48" t="s">
        <v>512</v>
      </c>
      <c r="V39" s="48" t="s">
        <v>207</v>
      </c>
      <c r="W39" s="49" t="s">
        <v>21</v>
      </c>
      <c r="X39" s="97" t="s">
        <v>119</v>
      </c>
      <c r="Y39" s="460">
        <f t="shared" si="3"/>
        <v>15</v>
      </c>
      <c r="Z39" s="97" t="s">
        <v>119</v>
      </c>
      <c r="AA39" s="460">
        <f t="shared" si="4"/>
        <v>15</v>
      </c>
      <c r="AB39" s="97" t="s">
        <v>119</v>
      </c>
      <c r="AC39" s="460">
        <f t="shared" si="5"/>
        <v>15</v>
      </c>
      <c r="AD39" s="97" t="s">
        <v>119</v>
      </c>
      <c r="AE39" s="460">
        <f t="shared" si="6"/>
        <v>15</v>
      </c>
      <c r="AF39" s="97" t="s">
        <v>119</v>
      </c>
      <c r="AG39" s="460">
        <f t="shared" si="7"/>
        <v>15</v>
      </c>
      <c r="AH39" s="97" t="s">
        <v>119</v>
      </c>
      <c r="AI39" s="460">
        <f t="shared" si="8"/>
        <v>15</v>
      </c>
      <c r="AJ39" s="97" t="s">
        <v>120</v>
      </c>
      <c r="AK39" s="99">
        <f>+IF(AJ39="Completa",10,IF(AJ39="Incompleta",5,""))</f>
        <v>10</v>
      </c>
      <c r="AL39" s="103">
        <f t="shared" si="38"/>
        <v>100</v>
      </c>
      <c r="AM39" s="103" t="str">
        <f t="shared" si="39"/>
        <v>Fuerte</v>
      </c>
      <c r="AN39" s="106" t="s">
        <v>357</v>
      </c>
      <c r="AO39" s="86">
        <f>IFERROR(VLOOKUP(AN39,'[15]Seguridad Información'!$C$61:$D$63,2,0),"")</f>
        <v>20</v>
      </c>
      <c r="AP39" s="106" t="s">
        <v>361</v>
      </c>
      <c r="AQ39" s="86">
        <f>IFERROR(VLOOKUP(AP39,'[15]Seguridad Información'!$E$61:$F$64,2,0),"")</f>
        <v>0</v>
      </c>
      <c r="AR39" s="106" t="s">
        <v>355</v>
      </c>
      <c r="AS39" s="86">
        <f>IFERROR(VLOOKUP(AR39,'[15]Seguridad Información'!$G$61:$H$64,2,0),"")</f>
        <v>60</v>
      </c>
      <c r="AT39" s="106" t="s">
        <v>352</v>
      </c>
      <c r="AU39" s="50">
        <f>IFERROR(VLOOKUP(AT39,'[15]Seguridad Información'!$I$61:$J$65,2,0),"")</f>
        <v>100</v>
      </c>
      <c r="AV39" s="50"/>
      <c r="AW39" s="19">
        <f>IFERROR(AVERAGE(AO39,AQ39,AS39,AU39),"")</f>
        <v>45</v>
      </c>
      <c r="AX39" s="103" t="str">
        <f>IF(AW39&lt;=80,"Débil",IF(AW39&lt;=90,"Moderado",IF(AW39=100,"Fuerte","")))</f>
        <v>Débil</v>
      </c>
      <c r="AY39" s="19" t="str">
        <f>IFERROR(VLOOKUP((CONCATENATE(AM39,AX39)),[15]Listados!$U$3:$V$11,2,FALSE),"")</f>
        <v>Débil</v>
      </c>
      <c r="AZ39" s="103">
        <f t="shared" si="40"/>
        <v>0</v>
      </c>
      <c r="BA39" s="367"/>
      <c r="BB39" s="367"/>
      <c r="BC39" s="51">
        <f>+IF(AND(W39="Preventivo",BB39="Fuerte"),2,IF(AND(W39="Preventivo",BB39="Moderado"),1,0))</f>
        <v>0</v>
      </c>
      <c r="BD39" s="51">
        <f>+IF(AND(W39="Detectivo/Correctivo",$BB39="Fuerte"),2,IF(AND(W39="Detectivo/Correctivo",$BB39="Moderado"),1,IF(AND(W39="Preventivo",$BB39="Fuerte"),1,0)))</f>
        <v>0</v>
      </c>
      <c r="BE39" s="51"/>
      <c r="BF39" s="51"/>
      <c r="BG39" s="361"/>
      <c r="BH39" s="361"/>
      <c r="BI39" s="361"/>
      <c r="BJ39" s="362"/>
      <c r="BK39" s="359"/>
      <c r="BL39" s="364"/>
      <c r="BM39" s="360"/>
    </row>
    <row r="40" spans="1:65" ht="165.75" customHeight="1" thickBot="1">
      <c r="A40" s="369"/>
      <c r="B40" s="370"/>
      <c r="C40" s="371"/>
      <c r="D40" s="372"/>
      <c r="E40" s="201" t="s">
        <v>180</v>
      </c>
      <c r="F40" s="373"/>
      <c r="G40" s="373"/>
      <c r="H40" s="202" t="s">
        <v>186</v>
      </c>
      <c r="I40" s="203" t="s">
        <v>201</v>
      </c>
      <c r="J40" s="202" t="s">
        <v>210</v>
      </c>
      <c r="K40" s="204" t="s">
        <v>17</v>
      </c>
      <c r="L40" s="205" t="s">
        <v>214</v>
      </c>
      <c r="M40" s="370"/>
      <c r="N40" s="366"/>
      <c r="O40" s="375"/>
      <c r="P40" s="366"/>
      <c r="Q40" s="322"/>
      <c r="R40" s="322"/>
      <c r="S40" s="206" t="s">
        <v>224</v>
      </c>
      <c r="T40" s="206" t="s">
        <v>252</v>
      </c>
      <c r="U40" s="207" t="s">
        <v>476</v>
      </c>
      <c r="V40" s="207" t="s">
        <v>210</v>
      </c>
      <c r="W40" s="208" t="s">
        <v>21</v>
      </c>
      <c r="X40" s="206" t="s">
        <v>119</v>
      </c>
      <c r="Y40" s="206">
        <f t="shared" si="3"/>
        <v>15</v>
      </c>
      <c r="Z40" s="206" t="s">
        <v>119</v>
      </c>
      <c r="AA40" s="206">
        <f t="shared" si="4"/>
        <v>15</v>
      </c>
      <c r="AB40" s="206" t="s">
        <v>119</v>
      </c>
      <c r="AC40" s="206">
        <f t="shared" si="5"/>
        <v>15</v>
      </c>
      <c r="AD40" s="206" t="s">
        <v>119</v>
      </c>
      <c r="AE40" s="206">
        <f t="shared" si="6"/>
        <v>15</v>
      </c>
      <c r="AF40" s="206" t="s">
        <v>119</v>
      </c>
      <c r="AG40" s="206">
        <f t="shared" si="7"/>
        <v>15</v>
      </c>
      <c r="AH40" s="206" t="s">
        <v>119</v>
      </c>
      <c r="AI40" s="206">
        <f t="shared" si="8"/>
        <v>15</v>
      </c>
      <c r="AJ40" s="206" t="s">
        <v>120</v>
      </c>
      <c r="AK40" s="209">
        <f t="shared" ref="AK40" si="53">+IF(AJ40="Completa",10,IF(AJ40="Incompleta",5,""))</f>
        <v>10</v>
      </c>
      <c r="AL40" s="210">
        <f t="shared" si="38"/>
        <v>100</v>
      </c>
      <c r="AM40" s="210" t="str">
        <f t="shared" si="39"/>
        <v>Fuerte</v>
      </c>
      <c r="AN40" s="211" t="s">
        <v>357</v>
      </c>
      <c r="AO40" s="212">
        <f>IFERROR(VLOOKUP(AN40,'[15]Seguridad Información'!$C$61:$D$63,2,0),"")</f>
        <v>20</v>
      </c>
      <c r="AP40" s="211" t="s">
        <v>350</v>
      </c>
      <c r="AQ40" s="212">
        <f>IFERROR(VLOOKUP(AP40,'[15]Seguridad Información'!$E$61:$F$64,2,0),"")</f>
        <v>100</v>
      </c>
      <c r="AR40" s="211" t="s">
        <v>355</v>
      </c>
      <c r="AS40" s="212">
        <f>IFERROR(VLOOKUP(AR40,'[15]Seguridad Información'!$G$61:$H$64,2,0),"")</f>
        <v>60</v>
      </c>
      <c r="AT40" s="211" t="s">
        <v>352</v>
      </c>
      <c r="AU40" s="213">
        <f>IFERROR(VLOOKUP(AT40,'[15]Seguridad Información'!$I$61:$J$65,2,0),"")</f>
        <v>100</v>
      </c>
      <c r="AV40" s="213"/>
      <c r="AW40" s="214">
        <f>IFERROR(AVERAGE(AO40,AQ40,AS40,AU40),"")</f>
        <v>70</v>
      </c>
      <c r="AX40" s="210" t="str">
        <f t="shared" ref="AX40" si="54">IF(AW40&lt;=80,"Débil",IF(AW40&lt;=90,"Moderado",IF(AW40=100,"Fuerte","")))</f>
        <v>Débil</v>
      </c>
      <c r="AY40" s="214" t="str">
        <f>IFERROR(VLOOKUP((CONCATENATE(AM40,AX40)),[15]Listados!$U$3:$V$11,2,FALSE),"")</f>
        <v>Débil</v>
      </c>
      <c r="AZ40" s="210">
        <f t="shared" si="40"/>
        <v>0</v>
      </c>
      <c r="BA40" s="368"/>
      <c r="BB40" s="368"/>
      <c r="BC40" s="215">
        <f>+IF(AND(W40="Preventivo",BB38="Fuerte"),2,IF(AND(W40="Preventivo",BB38="Moderado"),1,0))</f>
        <v>0</v>
      </c>
      <c r="BD40" s="215">
        <f>+IF(AND(W40="Detectivo/Correctivo",$BB38="Fuerte"),2,IF(AND(W40="Detectivo/Correctivo",$BB40="Moderado"),1,IF(AND(W40="Preventivo",$BB38="Fuerte"),1,0)))</f>
        <v>0</v>
      </c>
      <c r="BE40" s="215">
        <f>+N38-BC40</f>
        <v>1</v>
      </c>
      <c r="BF40" s="215">
        <f>+P38-BD40</f>
        <v>3</v>
      </c>
      <c r="BG40" s="322"/>
      <c r="BH40" s="322"/>
      <c r="BI40" s="322"/>
      <c r="BJ40" s="363"/>
      <c r="BK40" s="299"/>
      <c r="BL40" s="299"/>
      <c r="BM40" s="301"/>
    </row>
    <row r="41" spans="1:65" ht="140.25">
      <c r="A41" s="152">
        <v>1</v>
      </c>
      <c r="B41" s="153" t="s">
        <v>101</v>
      </c>
      <c r="C41" s="154" t="str">
        <f>IFERROR(VLOOKUP(B41,[16]Listados!B$3:C$20,2,FALSE),"")</f>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
      <c r="D41" s="198" t="s">
        <v>513</v>
      </c>
      <c r="E41" s="107" t="s">
        <v>181</v>
      </c>
      <c r="F41" s="138" t="s">
        <v>181</v>
      </c>
      <c r="G41" s="138" t="s">
        <v>198</v>
      </c>
      <c r="H41" s="108" t="s">
        <v>184</v>
      </c>
      <c r="I41" s="108" t="s">
        <v>202</v>
      </c>
      <c r="J41" s="108" t="s">
        <v>514</v>
      </c>
      <c r="K41" s="109" t="s">
        <v>17</v>
      </c>
      <c r="L41" s="109" t="s">
        <v>215</v>
      </c>
      <c r="M41" s="153" t="s">
        <v>45</v>
      </c>
      <c r="N41" s="156">
        <f>+VLOOKUP(M41,[16]Listados!$K$8:$L$12,2,0)</f>
        <v>3</v>
      </c>
      <c r="O41" s="157" t="s">
        <v>55</v>
      </c>
      <c r="P41" s="156">
        <f>+VLOOKUP(O41,[16]Listados!$K$13:$L$17,2,0)</f>
        <v>4</v>
      </c>
      <c r="Q41" s="113" t="str">
        <f>IF(AND(M41&lt;&gt;"",O41&lt;&gt;""),VLOOKUP(M41&amp;O41,[16]Listados!$M$3:$N$27,2,FALSE),"")</f>
        <v>Extremo</v>
      </c>
      <c r="R41" s="113" t="str">
        <f>+VLOOKUP(Q41,[16]Listados!$P$3:$Q$6,2,FALSE)</f>
        <v>Evitar el riesgo</v>
      </c>
      <c r="S41" s="110" t="s">
        <v>224</v>
      </c>
      <c r="T41" s="110" t="s">
        <v>276</v>
      </c>
      <c r="U41" s="111" t="s">
        <v>515</v>
      </c>
      <c r="V41" s="111" t="s">
        <v>474</v>
      </c>
      <c r="W41" s="112" t="s">
        <v>21</v>
      </c>
      <c r="X41" s="110" t="s">
        <v>119</v>
      </c>
      <c r="Y41" s="110">
        <f t="shared" si="3"/>
        <v>15</v>
      </c>
      <c r="Z41" s="110" t="s">
        <v>119</v>
      </c>
      <c r="AA41" s="110">
        <f t="shared" si="4"/>
        <v>15</v>
      </c>
      <c r="AB41" s="110" t="s">
        <v>119</v>
      </c>
      <c r="AC41" s="110">
        <f t="shared" si="5"/>
        <v>15</v>
      </c>
      <c r="AD41" s="110" t="s">
        <v>123</v>
      </c>
      <c r="AE41" s="110" t="str">
        <f t="shared" si="6"/>
        <v/>
      </c>
      <c r="AF41" s="110" t="s">
        <v>119</v>
      </c>
      <c r="AG41" s="110">
        <f t="shared" si="7"/>
        <v>15</v>
      </c>
      <c r="AH41" s="110" t="s">
        <v>119</v>
      </c>
      <c r="AI41" s="110">
        <f t="shared" si="8"/>
        <v>15</v>
      </c>
      <c r="AJ41" s="110" t="s">
        <v>120</v>
      </c>
      <c r="AK41" s="113">
        <f>+IF(AJ41="Completa",10,IF(AJ41="Incompleta",5,""))</f>
        <v>10</v>
      </c>
      <c r="AL41" s="114">
        <f t="shared" si="38"/>
        <v>85</v>
      </c>
      <c r="AM41" s="114" t="str">
        <f t="shared" si="39"/>
        <v>Débil</v>
      </c>
      <c r="AN41" s="140" t="s">
        <v>357</v>
      </c>
      <c r="AO41" s="140">
        <f>IFERROR(VLOOKUP(AN41,'[16]Seguridad Información'!$C$61:$D$63,2,0),"")</f>
        <v>20</v>
      </c>
      <c r="AP41" s="140" t="s">
        <v>350</v>
      </c>
      <c r="AQ41" s="140">
        <f>IFERROR(VLOOKUP(AP41,'[16]Seguridad Información'!$E$61:$F$64,2,0),"")</f>
        <v>100</v>
      </c>
      <c r="AR41" s="140" t="s">
        <v>355</v>
      </c>
      <c r="AS41" s="140">
        <f>IFERROR(VLOOKUP(AR41,'[16]Seguridad Información'!$G$61:$H$64,2,0),"")</f>
        <v>60</v>
      </c>
      <c r="AT41" s="140" t="s">
        <v>356</v>
      </c>
      <c r="AU41" s="117">
        <f>IFERROR(VLOOKUP(AT41,'[16]Seguridad Información'!$I$61:$J$65,2,0),"")</f>
        <v>60</v>
      </c>
      <c r="AV41" s="117"/>
      <c r="AW41" s="118">
        <f>IFERROR(AVERAGE(AO41,AQ41,AS41,AU41),"")</f>
        <v>60</v>
      </c>
      <c r="AX41" s="114" t="str">
        <f>IF(AW41&lt;=80,"Débil",IF(AW41&lt;=90,"Moderado",IF(AW41=100,"Fuerte","")))</f>
        <v>Débil</v>
      </c>
      <c r="AY41" s="118" t="str">
        <f>IFERROR(VLOOKUP((CONCATENATE(AM41,AX41)),[16]Listados!$U$3:$V$11,2,FALSE),"")</f>
        <v>Débil</v>
      </c>
      <c r="AZ41" s="114">
        <f t="shared" si="40"/>
        <v>0</v>
      </c>
      <c r="BA41" s="114">
        <f>AVERAGE(AZ41:AZ41)</f>
        <v>0</v>
      </c>
      <c r="BB41" s="114" t="str">
        <f>IF(BA41&lt;=50, "Débil", IF(BA41&lt;=99,"Moderado","Fuerte"))</f>
        <v>Débil</v>
      </c>
      <c r="BC41" s="119">
        <f>+IF(AND(W41="Preventivo",BB41="Fuerte"),2,IF(AND(W41="Preventivo",BB41="Moderado"),1,0))</f>
        <v>0</v>
      </c>
      <c r="BD41" s="119">
        <f>+IF(AND(W41="Detectivo/Correctivo",$BB41="Fuerte"),2,IF(AND(W41="Detectivo/Correctivo",$BB41="Moderado"),1,IF(AND(W41="Preventivo",$BB41="Fuerte"),1,0)))</f>
        <v>0</v>
      </c>
      <c r="BE41" s="119">
        <f>+N41-BC41</f>
        <v>3</v>
      </c>
      <c r="BF41" s="119">
        <f>+P41-BD41</f>
        <v>4</v>
      </c>
      <c r="BG41" s="113" t="str">
        <f>+VLOOKUP(MIN(BE41),[16]Listados!$J$18:$K$24,2,TRUE)</f>
        <v>Posible</v>
      </c>
      <c r="BH41" s="113" t="str">
        <f>+VLOOKUP(MIN(BF41),[16]Listados!$J$26:$K$32,2,TRUE)</f>
        <v>Mayor</v>
      </c>
      <c r="BI41" s="113" t="str">
        <f>IF(AND(BG41&lt;&gt;"",BH41&lt;&gt;""),VLOOKUP(BG41&amp;BH41,[16]Listados!$M$3:$N$27,2,FALSE),"")</f>
        <v>Extremo</v>
      </c>
      <c r="BJ41" s="216" t="s">
        <v>516</v>
      </c>
      <c r="BK41" s="217">
        <v>45383</v>
      </c>
      <c r="BL41" s="110" t="s">
        <v>482</v>
      </c>
      <c r="BM41" s="162" t="s">
        <v>517</v>
      </c>
    </row>
    <row r="42" spans="1:65" ht="140.25">
      <c r="A42" s="100">
        <v>2</v>
      </c>
      <c r="B42" s="487" t="s">
        <v>101</v>
      </c>
      <c r="C42" s="101" t="str">
        <f>IFERROR(VLOOKUP(B42,[16]Listados!B$3:C$20,2,FALSE),"")</f>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
      <c r="D42" s="488" t="s">
        <v>513</v>
      </c>
      <c r="E42" s="40" t="s">
        <v>180</v>
      </c>
      <c r="F42" s="454" t="s">
        <v>180</v>
      </c>
      <c r="G42" s="102" t="s">
        <v>197</v>
      </c>
      <c r="H42" s="471" t="s">
        <v>186</v>
      </c>
      <c r="I42" s="22" t="s">
        <v>201</v>
      </c>
      <c r="J42" s="471" t="s">
        <v>210</v>
      </c>
      <c r="K42" s="472" t="s">
        <v>17</v>
      </c>
      <c r="L42" s="23" t="s">
        <v>217</v>
      </c>
      <c r="M42" s="487" t="s">
        <v>22</v>
      </c>
      <c r="N42" s="489"/>
      <c r="O42" s="490" t="s">
        <v>55</v>
      </c>
      <c r="P42" s="489"/>
      <c r="Q42" s="491" t="str">
        <f>IF(AND(M42&lt;&gt;"",O42&lt;&gt;""),VLOOKUP(M42&amp;O42,[16]Listados!$M$3:$N$27,2,FALSE),"")</f>
        <v>Alto</v>
      </c>
      <c r="R42" s="462" t="str">
        <f>+VLOOKUP(Q42,[16]Listados!$P$3:$Q$6,2,FALSE)</f>
        <v>Reducir el riesgo</v>
      </c>
      <c r="S42" s="460" t="s">
        <v>224</v>
      </c>
      <c r="T42" s="460" t="s">
        <v>252</v>
      </c>
      <c r="U42" s="492" t="s">
        <v>518</v>
      </c>
      <c r="V42" s="461" t="s">
        <v>210</v>
      </c>
      <c r="W42" s="473" t="s">
        <v>21</v>
      </c>
      <c r="X42" s="460" t="s">
        <v>119</v>
      </c>
      <c r="Y42" s="460">
        <f t="shared" si="3"/>
        <v>15</v>
      </c>
      <c r="Z42" s="460" t="s">
        <v>119</v>
      </c>
      <c r="AA42" s="460">
        <f t="shared" si="4"/>
        <v>15</v>
      </c>
      <c r="AB42" s="460" t="s">
        <v>119</v>
      </c>
      <c r="AC42" s="460">
        <f t="shared" si="5"/>
        <v>15</v>
      </c>
      <c r="AD42" s="460" t="s">
        <v>119</v>
      </c>
      <c r="AE42" s="460">
        <f t="shared" si="6"/>
        <v>15</v>
      </c>
      <c r="AF42" s="460" t="s">
        <v>119</v>
      </c>
      <c r="AG42" s="460">
        <f t="shared" si="7"/>
        <v>15</v>
      </c>
      <c r="AH42" s="460" t="s">
        <v>119</v>
      </c>
      <c r="AI42" s="460">
        <f t="shared" si="8"/>
        <v>15</v>
      </c>
      <c r="AJ42" s="460" t="s">
        <v>120</v>
      </c>
      <c r="AK42" s="99">
        <f>+IF(AJ42="Completa",10,IF(AJ42="Incompleta",5,""))</f>
        <v>10</v>
      </c>
      <c r="AL42" s="103">
        <f t="shared" si="38"/>
        <v>100</v>
      </c>
      <c r="AM42" s="103" t="str">
        <f t="shared" si="39"/>
        <v>Fuerte</v>
      </c>
      <c r="AN42" s="465" t="s">
        <v>357</v>
      </c>
      <c r="AO42" s="106">
        <f>IFERROR(VLOOKUP(AN42,'[16]Seguridad Información'!$C$61:$D$63,2,0),"")</f>
        <v>20</v>
      </c>
      <c r="AP42" s="465" t="s">
        <v>350</v>
      </c>
      <c r="AQ42" s="106">
        <f>IFERROR(VLOOKUP(AP42,'[16]Seguridad Información'!$E$61:$F$64,2,0),"")</f>
        <v>100</v>
      </c>
      <c r="AR42" s="465" t="s">
        <v>355</v>
      </c>
      <c r="AS42" s="106">
        <f>IFERROR(VLOOKUP(AR42,'[16]Seguridad Información'!$G$61:$H$64,2,0),"")</f>
        <v>60</v>
      </c>
      <c r="AT42" s="465" t="s">
        <v>356</v>
      </c>
      <c r="AU42" s="50">
        <f>IFERROR(VLOOKUP(AT42,'[16]Seguridad Información'!$I$61:$J$65,2,0),"")</f>
        <v>60</v>
      </c>
      <c r="AV42" s="444"/>
      <c r="AW42" s="19">
        <f>IFERROR(AVERAGE(AO42,AQ42,AS42,AU42),"")</f>
        <v>60</v>
      </c>
      <c r="AX42" s="103" t="str">
        <f>IF(AW42&lt;=80,"Débil",IF(AW42&lt;=90,"Moderado",IF(AW42=100,"Fuerte","")))</f>
        <v>Débil</v>
      </c>
      <c r="AY42" s="19" t="str">
        <f>IFERROR(VLOOKUP((CONCATENATE(AM42,AX42)),[16]Listados!$U$3:$V$11,2,FALSE),"")</f>
        <v>Débil</v>
      </c>
      <c r="AZ42" s="103">
        <f t="shared" si="40"/>
        <v>0</v>
      </c>
      <c r="BA42" s="103">
        <f>AVERAGE(AZ42:AZ42)</f>
        <v>0</v>
      </c>
      <c r="BB42" s="103" t="str">
        <f>IF(BA42&lt;=50, "Débil", IF(BA42&lt;=99,"Moderado","Fuerte"))</f>
        <v>Débil</v>
      </c>
      <c r="BC42" s="51">
        <f>+IF(AND(W42="Preventivo",BB42="Fuerte"),2,IF(AND(W42="Preventivo",BB42="Moderado"),1,0))</f>
        <v>0</v>
      </c>
      <c r="BD42" s="51">
        <f>+IF(AND(W42="Detectivo/Correctivo",$BB42="Fuerte"),2,IF(AND(W42="Detectivo/Correctivo",$BB42="Moderado"),1,IF(AND(W42="Preventivo",$BB42="Fuerte"),1,0)))</f>
        <v>0</v>
      </c>
      <c r="BE42" s="477"/>
      <c r="BF42" s="477"/>
      <c r="BG42" s="99" t="str">
        <f>+VLOOKUP(MIN(BE42),[16]Listados!$J$18:$K$24,2,TRUE)</f>
        <v>Rara Vez</v>
      </c>
      <c r="BH42" s="99" t="str">
        <f>+VLOOKUP(MIN(BF42),[16]Listados!$J$26:$K$32,2,TRUE)</f>
        <v>Insignificante</v>
      </c>
      <c r="BI42" s="99" t="str">
        <f>IF(AND(BG42&lt;&gt;"",BH42&lt;&gt;""),VLOOKUP(BG42&amp;BH42,[16]Listados!$M$3:$N$27,2,FALSE),"")</f>
        <v>Bajo</v>
      </c>
      <c r="BJ42" s="493" t="s">
        <v>519</v>
      </c>
      <c r="BK42" s="199">
        <v>45383</v>
      </c>
      <c r="BL42" s="97" t="s">
        <v>482</v>
      </c>
      <c r="BM42" s="98" t="s">
        <v>517</v>
      </c>
    </row>
    <row r="43" spans="1:65" ht="140.25" customHeight="1">
      <c r="A43" s="320">
        <v>3</v>
      </c>
      <c r="B43" s="478" t="s">
        <v>101</v>
      </c>
      <c r="C43" s="470" t="str">
        <f>IFERROR(VLOOKUP(B43,[16]Listados!B$3:C$20,2,FALSE),"")</f>
        <v xml:space="preserve"> 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 </v>
      </c>
      <c r="D43" s="357" t="s">
        <v>520</v>
      </c>
      <c r="E43" s="40" t="s">
        <v>181</v>
      </c>
      <c r="F43" s="452" t="s">
        <v>181</v>
      </c>
      <c r="G43" s="358" t="s">
        <v>198</v>
      </c>
      <c r="H43" s="471" t="s">
        <v>190</v>
      </c>
      <c r="I43" s="22" t="s">
        <v>202</v>
      </c>
      <c r="J43" s="471" t="s">
        <v>514</v>
      </c>
      <c r="K43" s="472" t="s">
        <v>17</v>
      </c>
      <c r="L43" s="23" t="s">
        <v>213</v>
      </c>
      <c r="M43" s="455" t="s">
        <v>22</v>
      </c>
      <c r="N43" s="456">
        <f>+VLOOKUP(M43,[16]Listados!$K$8:$L$12,2,0)</f>
        <v>1</v>
      </c>
      <c r="O43" s="457" t="s">
        <v>55</v>
      </c>
      <c r="P43" s="456">
        <f>+VLOOKUP(O43,[16]Listados!$K$13:$L$17,2,0)</f>
        <v>4</v>
      </c>
      <c r="Q43" s="459" t="str">
        <f>IF(AND(M43&lt;&gt;"",O43&lt;&gt;""),VLOOKUP(M43&amp;O43,[16]Listados!$M$3:$N$27,2,FALSE),"")</f>
        <v>Alto</v>
      </c>
      <c r="R43" s="459" t="str">
        <f>+VLOOKUP(Q43,[16]Listados!$P$3:$Q$6,2,FALSE)</f>
        <v>Reducir el riesgo</v>
      </c>
      <c r="S43" s="460" t="s">
        <v>224</v>
      </c>
      <c r="T43" s="460" t="s">
        <v>238</v>
      </c>
      <c r="U43" s="200" t="s">
        <v>521</v>
      </c>
      <c r="V43" s="461" t="s">
        <v>522</v>
      </c>
      <c r="W43" s="479" t="s">
        <v>21</v>
      </c>
      <c r="X43" s="460" t="s">
        <v>119</v>
      </c>
      <c r="Y43" s="460">
        <f t="shared" si="3"/>
        <v>15</v>
      </c>
      <c r="Z43" s="480" t="s">
        <v>119</v>
      </c>
      <c r="AA43" s="460">
        <f t="shared" si="4"/>
        <v>15</v>
      </c>
      <c r="AB43" s="460" t="s">
        <v>119</v>
      </c>
      <c r="AC43" s="460">
        <f t="shared" si="5"/>
        <v>15</v>
      </c>
      <c r="AD43" s="460" t="s">
        <v>119</v>
      </c>
      <c r="AE43" s="460">
        <f t="shared" si="6"/>
        <v>15</v>
      </c>
      <c r="AF43" s="460" t="s">
        <v>119</v>
      </c>
      <c r="AG43" s="460">
        <f t="shared" si="7"/>
        <v>15</v>
      </c>
      <c r="AH43" s="460" t="s">
        <v>119</v>
      </c>
      <c r="AI43" s="460">
        <f t="shared" si="8"/>
        <v>15</v>
      </c>
      <c r="AJ43" s="460" t="s">
        <v>120</v>
      </c>
      <c r="AK43" s="462">
        <f t="shared" ref="AK43:AK44" si="55">+IF(AJ43="Completa",10,IF(AJ43="Incompleta",5,""))</f>
        <v>10</v>
      </c>
      <c r="AL43" s="463">
        <f t="shared" ref="AL43:AL44" si="56">IF((SUM(Y43,AA43,AC43,AE43,AG43,AI43,AK43)=0),"",(SUM(Y43,AA43,AC43,AE43,AG43,AI43,AK43)))</f>
        <v>100</v>
      </c>
      <c r="AM43" s="463" t="str">
        <f t="shared" ref="AM43:AM44" si="57">IF(AL43&lt;=85,"Débil",IF(AL43&lt;=95,"Moderado",IF(AL43=100,"Fuerte","")))</f>
        <v>Fuerte</v>
      </c>
      <c r="AN43" s="465" t="s">
        <v>353</v>
      </c>
      <c r="AO43" s="106">
        <f>IFERROR(VLOOKUP(AN43,'[16]Seguridad Información'!$C$61:$D$63,2,0),"")</f>
        <v>60</v>
      </c>
      <c r="AP43" s="465" t="s">
        <v>350</v>
      </c>
      <c r="AQ43" s="106">
        <f>IFERROR(VLOOKUP(AP43,'[16]Seguridad Información'!$E$61:$F$64,2,0),"")</f>
        <v>100</v>
      </c>
      <c r="AR43" s="465" t="s">
        <v>355</v>
      </c>
      <c r="AS43" s="106">
        <f>IFERROR(VLOOKUP(AR43,'[16]Seguridad Información'!$G$61:$H$64,2,0),"")</f>
        <v>60</v>
      </c>
      <c r="AT43" s="465" t="s">
        <v>352</v>
      </c>
      <c r="AU43" s="444">
        <f>IFERROR(VLOOKUP(AT43,'[16]Seguridad Información'!$I$61:$J$65,2,0),"")</f>
        <v>100</v>
      </c>
      <c r="AV43" s="444"/>
      <c r="AW43" s="475">
        <f t="shared" ref="AW43:AW44" si="58">IFERROR(AVERAGE(AO43,AQ43,AS43,AU43),"")</f>
        <v>80</v>
      </c>
      <c r="AX43" s="463" t="str">
        <f t="shared" ref="AX43:AX44" si="59">IF(AW43&lt;=80,"Débil",IF(AW43&lt;=90,"Moderado",IF(AW43=100,"Fuerte","")))</f>
        <v>Débil</v>
      </c>
      <c r="AY43" s="475" t="str">
        <f>IFERROR(VLOOKUP((CONCATENATE(AM43,AX43)),[16]Listados!$U$3:$V$11,2,FALSE),"")</f>
        <v>Débil</v>
      </c>
      <c r="AZ43" s="463">
        <f t="shared" ref="AZ43:AZ44" si="60">IF(ISBLANK(AY43),"",IF(AY43="Débil", 0, IF(AY43="Moderado",50,100)))</f>
        <v>0</v>
      </c>
      <c r="BA43" s="476">
        <f>AVERAGE(AZ43:AZ44)</f>
        <v>0</v>
      </c>
      <c r="BB43" s="476" t="str">
        <f>IF(BA43&lt;=50, "Débil", IF(BA43&lt;=99,"Moderado","Fuerte"))</f>
        <v>Débil</v>
      </c>
      <c r="BC43" s="477">
        <f>+IF(AND(W43="Preventivo",BB43="Fuerte"),2,IF(AND(W43="Preventivo",BB43="Moderado"),1,0))</f>
        <v>0</v>
      </c>
      <c r="BD43" s="477">
        <f>+IF(AND(W43="Detectivo/Correctivo",$BB43="Fuerte"),2,IF(AND(W43="Detectivo/Correctivo",$BB43="Moderado"),1,IF(AND(W43="Preventivo",$BB43="Fuerte"),1,0)))</f>
        <v>0</v>
      </c>
      <c r="BE43" s="477">
        <f>+N43-BC43</f>
        <v>1</v>
      </c>
      <c r="BF43" s="477">
        <f>+P43-BD43</f>
        <v>4</v>
      </c>
      <c r="BG43" s="459" t="str">
        <f>+VLOOKUP(MIN(BE43,BE44),[16]Listados!$J$18:$K$24,2,TRUE)</f>
        <v>Rara Vez</v>
      </c>
      <c r="BH43" s="459" t="str">
        <f>+VLOOKUP(MIN(BF43,BF44),[16]Listados!$J$26:$K$32,2,TRUE)</f>
        <v>Mayor</v>
      </c>
      <c r="BI43" s="459" t="str">
        <f>IF(AND(BG43&lt;&gt;"",BH43&lt;&gt;""),VLOOKUP(BG43&amp;BH43,[16]Listados!$M$3:$N$27,2,FALSE),"")</f>
        <v>Alto</v>
      </c>
      <c r="BJ43" s="469" t="s">
        <v>523</v>
      </c>
      <c r="BK43" s="359">
        <v>45323</v>
      </c>
      <c r="BL43" s="469" t="s">
        <v>482</v>
      </c>
      <c r="BM43" s="360" t="s">
        <v>517</v>
      </c>
    </row>
    <row r="44" spans="1:65" ht="128.25" thickBot="1">
      <c r="A44" s="355"/>
      <c r="B44" s="356"/>
      <c r="C44" s="308"/>
      <c r="D44" s="310"/>
      <c r="E44" s="120" t="s">
        <v>182</v>
      </c>
      <c r="F44" s="312"/>
      <c r="G44" s="312"/>
      <c r="H44" s="121" t="s">
        <v>185</v>
      </c>
      <c r="I44" s="122" t="s">
        <v>203</v>
      </c>
      <c r="J44" s="121" t="s">
        <v>522</v>
      </c>
      <c r="K44" s="123" t="s">
        <v>17</v>
      </c>
      <c r="L44" s="124" t="s">
        <v>217</v>
      </c>
      <c r="M44" s="314"/>
      <c r="N44" s="316"/>
      <c r="O44" s="318"/>
      <c r="P44" s="316"/>
      <c r="Q44" s="302"/>
      <c r="R44" s="302"/>
      <c r="S44" s="125" t="s">
        <v>224</v>
      </c>
      <c r="T44" s="125" t="s">
        <v>288</v>
      </c>
      <c r="U44" s="172" t="s">
        <v>524</v>
      </c>
      <c r="V44" s="126" t="s">
        <v>522</v>
      </c>
      <c r="W44" s="183" t="s">
        <v>21</v>
      </c>
      <c r="X44" s="125" t="s">
        <v>119</v>
      </c>
      <c r="Y44" s="125">
        <f t="shared" si="3"/>
        <v>15</v>
      </c>
      <c r="Z44" s="184" t="s">
        <v>119</v>
      </c>
      <c r="AA44" s="125">
        <f t="shared" si="4"/>
        <v>15</v>
      </c>
      <c r="AB44" s="125" t="s">
        <v>119</v>
      </c>
      <c r="AC44" s="125">
        <f t="shared" si="5"/>
        <v>15</v>
      </c>
      <c r="AD44" s="125" t="s">
        <v>119</v>
      </c>
      <c r="AE44" s="125">
        <f t="shared" si="6"/>
        <v>15</v>
      </c>
      <c r="AF44" s="125" t="s">
        <v>119</v>
      </c>
      <c r="AG44" s="125">
        <f t="shared" si="7"/>
        <v>15</v>
      </c>
      <c r="AH44" s="125" t="s">
        <v>119</v>
      </c>
      <c r="AI44" s="125">
        <f t="shared" si="8"/>
        <v>15</v>
      </c>
      <c r="AJ44" s="125" t="s">
        <v>120</v>
      </c>
      <c r="AK44" s="128">
        <f t="shared" si="55"/>
        <v>10</v>
      </c>
      <c r="AL44" s="129">
        <f t="shared" si="56"/>
        <v>100</v>
      </c>
      <c r="AM44" s="129" t="str">
        <f t="shared" si="57"/>
        <v>Fuerte</v>
      </c>
      <c r="AN44" s="148" t="s">
        <v>353</v>
      </c>
      <c r="AO44" s="185">
        <f>IFERROR(VLOOKUP(AN44,'[16]Seguridad Información'!$C$61:$D$63,2,0),"")</f>
        <v>60</v>
      </c>
      <c r="AP44" s="148" t="s">
        <v>350</v>
      </c>
      <c r="AQ44" s="185">
        <f>IFERROR(VLOOKUP(AP44,'[16]Seguridad Información'!$E$61:$F$64,2,0),"")</f>
        <v>100</v>
      </c>
      <c r="AR44" s="148" t="s">
        <v>355</v>
      </c>
      <c r="AS44" s="185">
        <f>IFERROR(VLOOKUP(AR44,'[16]Seguridad Información'!$G$61:$H$64,2,0),"")</f>
        <v>60</v>
      </c>
      <c r="AT44" s="148" t="s">
        <v>352</v>
      </c>
      <c r="AU44" s="133">
        <f>IFERROR(VLOOKUP(AT44,'[16]Seguridad Información'!$I$61:$J$65,2,0),"")</f>
        <v>100</v>
      </c>
      <c r="AV44" s="133"/>
      <c r="AW44" s="134">
        <f t="shared" si="58"/>
        <v>80</v>
      </c>
      <c r="AX44" s="129" t="str">
        <f t="shared" si="59"/>
        <v>Débil</v>
      </c>
      <c r="AY44" s="134" t="str">
        <f>IFERROR(VLOOKUP((CONCATENATE(AM44,AX44)),[16]Listados!$U$3:$V$11,2,FALSE),"")</f>
        <v>Débil</v>
      </c>
      <c r="AZ44" s="129">
        <f t="shared" si="60"/>
        <v>0</v>
      </c>
      <c r="BA44" s="324"/>
      <c r="BB44" s="324"/>
      <c r="BC44" s="135">
        <f>+IF(AND(W44="Preventivo",BB43="Fuerte"),2,IF(AND(W44="Preventivo",BB43="Moderado"),1,0))</f>
        <v>0</v>
      </c>
      <c r="BD44" s="135">
        <f>+IF(AND(W44="Detectivo/Correctivo",$BB43="Fuerte"),2,IF(AND(W44="Detectivo/Correctivo",$BB44="Moderado"),1,IF(AND(W44="Preventivo",$BB43="Fuerte"),1,0)))</f>
        <v>0</v>
      </c>
      <c r="BE44" s="135">
        <f>+N43-BC44</f>
        <v>1</v>
      </c>
      <c r="BF44" s="135">
        <f>+P43-BD44</f>
        <v>4</v>
      </c>
      <c r="BG44" s="302"/>
      <c r="BH44" s="302"/>
      <c r="BI44" s="302"/>
      <c r="BJ44" s="303"/>
      <c r="BK44" s="303"/>
      <c r="BL44" s="303"/>
      <c r="BM44" s="306"/>
    </row>
    <row r="45" spans="1:65" ht="114.75">
      <c r="A45" s="319">
        <v>1</v>
      </c>
      <c r="B45" s="313" t="s">
        <v>104</v>
      </c>
      <c r="C45" s="307" t="str">
        <f>IFERROR(VLOOKUP(B45,[17]Listados!B$3:C$20,2,FALSE),"")</f>
        <v xml:space="preserve"> Liderar y ejecutar las actividades propias de la administración y gestión del talento humano, aplicando la normativa vigente y los procedimientos establecidos en la entidad para contribuir a la consecución de los objtivos institucionales.</v>
      </c>
      <c r="D45" s="309" t="s">
        <v>525</v>
      </c>
      <c r="E45" s="107" t="s">
        <v>181</v>
      </c>
      <c r="F45" s="311" t="s">
        <v>181</v>
      </c>
      <c r="G45" s="311" t="s">
        <v>198</v>
      </c>
      <c r="H45" s="108" t="s">
        <v>184</v>
      </c>
      <c r="I45" s="108" t="s">
        <v>202</v>
      </c>
      <c r="J45" s="108" t="s">
        <v>474</v>
      </c>
      <c r="K45" s="109" t="s">
        <v>17</v>
      </c>
      <c r="L45" s="109" t="s">
        <v>214</v>
      </c>
      <c r="M45" s="313" t="s">
        <v>22</v>
      </c>
      <c r="N45" s="315">
        <f>+VLOOKUP(M45,[17]Listados!$K$8:$L$12,2,0)</f>
        <v>1</v>
      </c>
      <c r="O45" s="317" t="s">
        <v>33</v>
      </c>
      <c r="P45" s="315">
        <f>+VLOOKUP(O45,[17]Listados!$K$13:$L$17,2,0)</f>
        <v>2</v>
      </c>
      <c r="Q45" s="297" t="str">
        <f>IF(AND(M45&lt;&gt;"",O45&lt;&gt;""),VLOOKUP(M45&amp;O45,[17]Listados!$M$3:$N$27,2,FALSE),"")</f>
        <v>Bajo</v>
      </c>
      <c r="R45" s="297" t="str">
        <f>+VLOOKUP(Q45,[17]Listados!$P$3:$Q$6,2,FALSE)</f>
        <v>Asumir el riesgo</v>
      </c>
      <c r="S45" s="110" t="s">
        <v>224</v>
      </c>
      <c r="T45" s="110" t="s">
        <v>276</v>
      </c>
      <c r="U45" s="218" t="s">
        <v>526</v>
      </c>
      <c r="V45" s="111" t="s">
        <v>474</v>
      </c>
      <c r="W45" s="112" t="s">
        <v>21</v>
      </c>
      <c r="X45" s="110" t="s">
        <v>119</v>
      </c>
      <c r="Y45" s="110">
        <f t="shared" si="3"/>
        <v>15</v>
      </c>
      <c r="Z45" s="110" t="s">
        <v>119</v>
      </c>
      <c r="AA45" s="110">
        <f t="shared" si="4"/>
        <v>15</v>
      </c>
      <c r="AB45" s="110" t="s">
        <v>119</v>
      </c>
      <c r="AC45" s="110">
        <f t="shared" si="5"/>
        <v>15</v>
      </c>
      <c r="AD45" s="110" t="s">
        <v>119</v>
      </c>
      <c r="AE45" s="110">
        <f t="shared" si="6"/>
        <v>15</v>
      </c>
      <c r="AF45" s="110" t="s">
        <v>119</v>
      </c>
      <c r="AG45" s="110">
        <f t="shared" si="7"/>
        <v>15</v>
      </c>
      <c r="AH45" s="110" t="s">
        <v>119</v>
      </c>
      <c r="AI45" s="110">
        <f t="shared" si="8"/>
        <v>15</v>
      </c>
      <c r="AJ45" s="110" t="s">
        <v>120</v>
      </c>
      <c r="AK45" s="113">
        <f>+IF(AJ45="Completa",10,IF(AJ45="Incompleta",5,""))</f>
        <v>10</v>
      </c>
      <c r="AL45" s="114">
        <f>IF((SUM(Y45,AA45,AC45,AE45,AG45,AI45,AK45)=0),"",(SUM(Y45,AA45,AC45,AE45,AG45,AI45,AK45)))</f>
        <v>100</v>
      </c>
      <c r="AM45" s="114" t="str">
        <f>IF(AL45&lt;=85,"Débil",IF(AL45&lt;=95,"Moderado",IF(AL45=100,"Fuerte","")))</f>
        <v>Fuerte</v>
      </c>
      <c r="AN45" s="140" t="s">
        <v>353</v>
      </c>
      <c r="AO45" s="116">
        <f>IFERROR(VLOOKUP(AN45,'[17]Seguridad Información'!$C$61:$D$63,2,0),"")</f>
        <v>60</v>
      </c>
      <c r="AP45" s="140" t="s">
        <v>350</v>
      </c>
      <c r="AQ45" s="116">
        <f>IFERROR(VLOOKUP(AP45,'[17]Seguridad Información'!$E$61:$F$64,2,0),"")</f>
        <v>100</v>
      </c>
      <c r="AR45" s="219" t="s">
        <v>355</v>
      </c>
      <c r="AS45" s="116">
        <f>IFERROR(VLOOKUP(AR45,'[17]Seguridad Información'!$G$61:$H$64,2,0),"")</f>
        <v>60</v>
      </c>
      <c r="AT45" s="191" t="s">
        <v>352</v>
      </c>
      <c r="AU45" s="117">
        <f>IFERROR(VLOOKUP(AT45,'[17]Seguridad Información'!$I$61:$J$65,2,0),"")</f>
        <v>100</v>
      </c>
      <c r="AV45" s="117"/>
      <c r="AW45" s="118">
        <f>IFERROR(AVERAGE(AO45,AQ45,AS45,AU45),"")</f>
        <v>80</v>
      </c>
      <c r="AX45" s="114" t="str">
        <f>IF(AW45&lt;=80,"Débil",IF(AW45&lt;=90,"Moderado",IF(AW45=100,"Fuerte","")))</f>
        <v>Débil</v>
      </c>
      <c r="AY45" s="118" t="str">
        <f>IFERROR(VLOOKUP((CONCATENATE(AM45,AX45)),[17]Listados!$U$3:$V$11,2,FALSE),"")</f>
        <v>Débil</v>
      </c>
      <c r="AZ45" s="114">
        <f>IF(ISBLANK(AY45),"",IF(AY45="Débil", 0, IF(AY45="Moderado",50,100)))</f>
        <v>0</v>
      </c>
      <c r="BA45" s="323">
        <f>AVERAGE(AZ45:AZ46)</f>
        <v>0</v>
      </c>
      <c r="BB45" s="323" t="str">
        <f>IF(BA45&lt;=50, "Débil", IF(BA45&lt;=99,"Moderado","Fuerte"))</f>
        <v>Débil</v>
      </c>
      <c r="BC45" s="119">
        <f>+IF(AND(W45="Preventivo",BB45="Fuerte"),2,IF(AND(W45="Preventivo",BB45="Moderado"),1,0))</f>
        <v>0</v>
      </c>
      <c r="BD45" s="119">
        <f>+IF(AND(W45="Detectivo/Correctivo",$BB45="Fuerte"),2,IF(AND(W45="Detectivo/Correctivo",$BB45="Moderado"),1,IF(AND(W45="Preventivo",$BB45="Fuerte"),1,0)))</f>
        <v>0</v>
      </c>
      <c r="BE45" s="119">
        <f>+N45-BC45</f>
        <v>1</v>
      </c>
      <c r="BF45" s="119">
        <f>+P45-BD45</f>
        <v>2</v>
      </c>
      <c r="BG45" s="297" t="str">
        <f>+VLOOKUP(MIN(BE45,BE46),[17]Listados!$J$18:$K$24,2,TRUE)</f>
        <v>Rara Vez</v>
      </c>
      <c r="BH45" s="297" t="str">
        <f>+VLOOKUP(MIN(BF45,BF46),[17]Listados!$J$26:$K$32,2,TRUE)</f>
        <v>Menor</v>
      </c>
      <c r="BI45" s="297" t="str">
        <f>IF(AND(BG45&lt;&gt;"",BH45&lt;&gt;""),VLOOKUP(BG45&amp;BH45,[17]Listados!$M$3:$N$27,2,FALSE),"")</f>
        <v>Bajo</v>
      </c>
      <c r="BJ45" s="298"/>
      <c r="BK45" s="304"/>
      <c r="BL45" s="298"/>
      <c r="BM45" s="305"/>
    </row>
    <row r="46" spans="1:65" ht="115.5" thickBot="1">
      <c r="A46" s="355"/>
      <c r="B46" s="314"/>
      <c r="C46" s="308"/>
      <c r="D46" s="310"/>
      <c r="E46" s="120" t="s">
        <v>180</v>
      </c>
      <c r="F46" s="312"/>
      <c r="G46" s="312"/>
      <c r="H46" s="121" t="s">
        <v>186</v>
      </c>
      <c r="I46" s="122" t="s">
        <v>201</v>
      </c>
      <c r="J46" s="121" t="s">
        <v>210</v>
      </c>
      <c r="K46" s="123" t="s">
        <v>17</v>
      </c>
      <c r="L46" s="124" t="s">
        <v>214</v>
      </c>
      <c r="M46" s="314"/>
      <c r="N46" s="316"/>
      <c r="O46" s="318"/>
      <c r="P46" s="316"/>
      <c r="Q46" s="302"/>
      <c r="R46" s="302"/>
      <c r="S46" s="125" t="s">
        <v>224</v>
      </c>
      <c r="T46" s="125" t="s">
        <v>252</v>
      </c>
      <c r="U46" s="220" t="s">
        <v>527</v>
      </c>
      <c r="V46" s="126" t="s">
        <v>210</v>
      </c>
      <c r="W46" s="127" t="s">
        <v>21</v>
      </c>
      <c r="X46" s="125" t="s">
        <v>119</v>
      </c>
      <c r="Y46" s="125">
        <f t="shared" si="3"/>
        <v>15</v>
      </c>
      <c r="Z46" s="125" t="s">
        <v>119</v>
      </c>
      <c r="AA46" s="125">
        <f t="shared" si="4"/>
        <v>15</v>
      </c>
      <c r="AB46" s="125" t="s">
        <v>119</v>
      </c>
      <c r="AC46" s="125">
        <f t="shared" si="5"/>
        <v>15</v>
      </c>
      <c r="AD46" s="125" t="s">
        <v>119</v>
      </c>
      <c r="AE46" s="125">
        <f t="shared" si="6"/>
        <v>15</v>
      </c>
      <c r="AF46" s="125" t="s">
        <v>119</v>
      </c>
      <c r="AG46" s="125">
        <f t="shared" si="7"/>
        <v>15</v>
      </c>
      <c r="AH46" s="125" t="s">
        <v>119</v>
      </c>
      <c r="AI46" s="125">
        <f t="shared" si="8"/>
        <v>15</v>
      </c>
      <c r="AJ46" s="125" t="s">
        <v>120</v>
      </c>
      <c r="AK46" s="128">
        <f t="shared" ref="AK46" si="61">+IF(AJ46="Completa",10,IF(AJ46="Incompleta",5,""))</f>
        <v>10</v>
      </c>
      <c r="AL46" s="129">
        <f>IF((SUM(Y46,AA46,AC46,AE46,AG46,AI46,AK46)=0),"",(SUM(Y46,AA46,AC46,AE46,AG46,AI46,AK46)))</f>
        <v>100</v>
      </c>
      <c r="AM46" s="129" t="str">
        <f>IF(AL46&lt;=85,"Débil",IF(AL46&lt;=95,"Moderado",IF(AL46=100,"Fuerte","")))</f>
        <v>Fuerte</v>
      </c>
      <c r="AN46" s="148" t="s">
        <v>357</v>
      </c>
      <c r="AO46" s="131">
        <f>IFERROR(VLOOKUP(AN46,'[17]Seguridad Información'!$C$61:$D$63,2,0),"")</f>
        <v>20</v>
      </c>
      <c r="AP46" s="148" t="s">
        <v>350</v>
      </c>
      <c r="AQ46" s="131">
        <f>IFERROR(VLOOKUP(AP46,'[17]Seguridad Información'!$E$61:$F$64,2,0),"")</f>
        <v>100</v>
      </c>
      <c r="AR46" s="221" t="s">
        <v>355</v>
      </c>
      <c r="AS46" s="131">
        <f>IFERROR(VLOOKUP(AR46,'[17]Seguridad Información'!$G$61:$H$64,2,0),"")</f>
        <v>60</v>
      </c>
      <c r="AT46" s="193" t="s">
        <v>352</v>
      </c>
      <c r="AU46" s="133">
        <f>IFERROR(VLOOKUP(AT46,'[17]Seguridad Información'!$I$61:$J$65,2,0),"")</f>
        <v>100</v>
      </c>
      <c r="AV46" s="133"/>
      <c r="AW46" s="134">
        <f t="shared" ref="AW46" si="62">IFERROR(AVERAGE(AO46,AQ46,AS46,AU46),"")</f>
        <v>70</v>
      </c>
      <c r="AX46" s="129" t="str">
        <f t="shared" ref="AX46" si="63">IF(AW46&lt;=80,"Débil",IF(AW46&lt;=90,"Moderado",IF(AW46=100,"Fuerte","")))</f>
        <v>Débil</v>
      </c>
      <c r="AY46" s="134" t="str">
        <f>IFERROR(VLOOKUP((CONCATENATE(AM46,AX46)),[17]Listados!$U$3:$V$11,2,FALSE),"")</f>
        <v>Débil</v>
      </c>
      <c r="AZ46" s="129">
        <f>IF(ISBLANK(AY46),"",IF(AY46="Débil", 0, IF(AY46="Moderado",50,100)))</f>
        <v>0</v>
      </c>
      <c r="BA46" s="324"/>
      <c r="BB46" s="324"/>
      <c r="BC46" s="135">
        <f>+IF(AND(W46="Preventivo",BB45="Fuerte"),2,IF(AND(W46="Preventivo",BB45="Moderado"),1,0))</f>
        <v>0</v>
      </c>
      <c r="BD46" s="135">
        <f>+IF(AND(W46="Detectivo/Correctivo",$BB45="Fuerte"),2,IF(AND(W46="Detectivo/Correctivo",$BB46="Moderado"),1,IF(AND(W46="Preventivo",$BB45="Fuerte"),1,0)))</f>
        <v>0</v>
      </c>
      <c r="BE46" s="135">
        <f>+N45-BC46</f>
        <v>1</v>
      </c>
      <c r="BF46" s="135">
        <f>+P45-BD46</f>
        <v>2</v>
      </c>
      <c r="BG46" s="302"/>
      <c r="BH46" s="302"/>
      <c r="BI46" s="302"/>
      <c r="BJ46" s="303"/>
      <c r="BK46" s="303"/>
      <c r="BL46" s="303"/>
      <c r="BM46" s="306"/>
    </row>
    <row r="47" spans="1:65" ht="114.75">
      <c r="A47" s="319">
        <v>1</v>
      </c>
      <c r="B47" s="313" t="s">
        <v>98</v>
      </c>
      <c r="C47" s="307" t="str">
        <f>IFERROR(VLOOKUP(B47,[18]Listados!B$3:C$20,2,FALSE),"")</f>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
      <c r="D47" s="309" t="s">
        <v>528</v>
      </c>
      <c r="E47" s="107" t="s">
        <v>181</v>
      </c>
      <c r="F47" s="311" t="s">
        <v>181</v>
      </c>
      <c r="G47" s="311" t="s">
        <v>198</v>
      </c>
      <c r="H47" s="108" t="s">
        <v>184</v>
      </c>
      <c r="I47" s="108" t="s">
        <v>202</v>
      </c>
      <c r="J47" s="108" t="s">
        <v>474</v>
      </c>
      <c r="K47" s="109" t="s">
        <v>17</v>
      </c>
      <c r="L47" s="109" t="s">
        <v>215</v>
      </c>
      <c r="M47" s="313" t="s">
        <v>22</v>
      </c>
      <c r="N47" s="315">
        <f>+VLOOKUP(M47,[18]Listados!$K$8:$L$12,2,0)</f>
        <v>1</v>
      </c>
      <c r="O47" s="317" t="s">
        <v>33</v>
      </c>
      <c r="P47" s="315">
        <f>+VLOOKUP(O47,[18]Listados!$K$13:$L$17,2,0)</f>
        <v>2</v>
      </c>
      <c r="Q47" s="297" t="str">
        <f>IF(AND(M47&lt;&gt;"",O47&lt;&gt;""),VLOOKUP(M47&amp;O47,[18]Listados!$M$3:$N$27,2,FALSE),"")</f>
        <v>Bajo</v>
      </c>
      <c r="R47" s="297" t="str">
        <f>+VLOOKUP(Q47,[18]Listados!$P$3:$Q$6,2,FALSE)</f>
        <v>Asumir el riesgo</v>
      </c>
      <c r="S47" s="110" t="s">
        <v>224</v>
      </c>
      <c r="T47" s="110" t="s">
        <v>276</v>
      </c>
      <c r="U47" s="111" t="s">
        <v>470</v>
      </c>
      <c r="V47" s="111" t="s">
        <v>474</v>
      </c>
      <c r="W47" s="112" t="s">
        <v>21</v>
      </c>
      <c r="X47" s="110" t="s">
        <v>119</v>
      </c>
      <c r="Y47" s="110">
        <f t="shared" si="3"/>
        <v>15</v>
      </c>
      <c r="Z47" s="110" t="s">
        <v>119</v>
      </c>
      <c r="AA47" s="110">
        <f t="shared" si="4"/>
        <v>15</v>
      </c>
      <c r="AB47" s="110" t="s">
        <v>119</v>
      </c>
      <c r="AC47" s="110">
        <f t="shared" si="5"/>
        <v>15</v>
      </c>
      <c r="AD47" s="110" t="s">
        <v>119</v>
      </c>
      <c r="AE47" s="110">
        <f t="shared" si="6"/>
        <v>15</v>
      </c>
      <c r="AF47" s="110" t="s">
        <v>119</v>
      </c>
      <c r="AG47" s="110">
        <f t="shared" si="7"/>
        <v>15</v>
      </c>
      <c r="AH47" s="110" t="s">
        <v>119</v>
      </c>
      <c r="AI47" s="110">
        <f t="shared" si="8"/>
        <v>15</v>
      </c>
      <c r="AJ47" s="110" t="s">
        <v>120</v>
      </c>
      <c r="AK47" s="113">
        <f>+IF(AJ47="Completa",10,IF(AJ47="Incompleta",5,""))</f>
        <v>10</v>
      </c>
      <c r="AL47" s="114">
        <f>IF((SUM(Y47,AA47,AC47,AE47,AG47,AI47,AK47)=0),"",(SUM(Y47,AA47,AC47,AE47,AG47,AI47,AK47)))</f>
        <v>100</v>
      </c>
      <c r="AM47" s="114" t="str">
        <f>IF(AL47&lt;=85,"Débil",IF(AL47&lt;=95,"Moderado",IF(AL47=100,"Fuerte","")))</f>
        <v>Fuerte</v>
      </c>
      <c r="AN47" s="140" t="s">
        <v>353</v>
      </c>
      <c r="AO47" s="140">
        <f>IFERROR(VLOOKUP(AN47,'[18]Seguridad Información'!$C$61:$D$63,2,0),"")</f>
        <v>60</v>
      </c>
      <c r="AP47" s="140" t="s">
        <v>350</v>
      </c>
      <c r="AQ47" s="140">
        <f>IFERROR(VLOOKUP(AP47,'[18]Seguridad Información'!$E$61:$F$64,2,0),"")</f>
        <v>100</v>
      </c>
      <c r="AR47" s="140" t="s">
        <v>355</v>
      </c>
      <c r="AS47" s="140">
        <f>IFERROR(VLOOKUP(AR47,'[18]Seguridad Información'!$G$61:$H$64,2,0),"")</f>
        <v>60</v>
      </c>
      <c r="AT47" s="140" t="s">
        <v>352</v>
      </c>
      <c r="AU47" s="182">
        <f>IFERROR(VLOOKUP(AT47,'[18]Seguridad Información'!$I$61:$J$65,2,0),"")</f>
        <v>100</v>
      </c>
      <c r="AV47" s="117"/>
      <c r="AW47" s="118">
        <f>IFERROR(AVERAGE(AO47,AQ47,AS47,AU47),"")</f>
        <v>80</v>
      </c>
      <c r="AX47" s="114" t="str">
        <f>IF(AW47&lt;=80,"Débil",IF(AW47&lt;=90,"Moderado",IF(AW47=100,"Fuerte","")))</f>
        <v>Débil</v>
      </c>
      <c r="AY47" s="118" t="str">
        <f>IFERROR(VLOOKUP((CONCATENATE(AM47,AX47)),[18]Listados!$U$3:$V$11,2,FALSE),"")</f>
        <v>Débil</v>
      </c>
      <c r="AZ47" s="114">
        <f>IF(ISBLANK(AY47),"",IF(AY47="Débil", 0, IF(AY47="Moderado",50,100)))</f>
        <v>0</v>
      </c>
      <c r="BA47" s="323">
        <f>AVERAGE(AZ47:AZ48)</f>
        <v>0</v>
      </c>
      <c r="BB47" s="323" t="str">
        <f>IF(BA47&lt;=50, "Débil", IF(BA47&lt;=99,"Moderado","Fuerte"))</f>
        <v>Débil</v>
      </c>
      <c r="BC47" s="119">
        <f>+IF(AND(W47="Preventivo",BB47="Fuerte"),2,IF(AND(W47="Preventivo",BB47="Moderado"),1,0))</f>
        <v>0</v>
      </c>
      <c r="BD47" s="119">
        <f>+IF(AND(W47="Detectivo/Correctivo",$BB47="Fuerte"),2,IF(AND(W47="Detectivo/Correctivo",$BB47="Moderado"),1,IF(AND(W47="Preventivo",$BB47="Fuerte"),1,0)))</f>
        <v>0</v>
      </c>
      <c r="BE47" s="119">
        <f>+N47-BC47</f>
        <v>1</v>
      </c>
      <c r="BF47" s="119">
        <f>+P47-BD47</f>
        <v>2</v>
      </c>
      <c r="BG47" s="297" t="str">
        <f>+VLOOKUP(MIN(BE47,BE48),[18]Listados!$J$18:$K$24,2,TRUE)</f>
        <v>Rara Vez</v>
      </c>
      <c r="BH47" s="297" t="str">
        <f>+VLOOKUP(MIN(BF47,BF48),[18]Listados!$J$26:$K$32,2,TRUE)</f>
        <v>Menor</v>
      </c>
      <c r="BI47" s="297" t="str">
        <f>IF(AND(BG47&lt;&gt;"",BH47&lt;&gt;""),VLOOKUP(BG47&amp;BH47,[18]Listados!$M$3:$N$27,2,FALSE),"")</f>
        <v>Bajo</v>
      </c>
      <c r="BJ47" s="298" t="str">
        <f>+IF($R47="Asumir el riesgo","NA","")</f>
        <v>NA</v>
      </c>
      <c r="BK47" s="298" t="str">
        <f>+IF($R47="Asumir el riesgo","NA","")</f>
        <v>NA</v>
      </c>
      <c r="BL47" s="298" t="str">
        <f>+IF($R47="Asumir el riesgo","NA","")</f>
        <v>NA</v>
      </c>
      <c r="BM47" s="305" t="str">
        <f>+IF($R47="Asumir el riesgo","NA","")</f>
        <v>NA</v>
      </c>
    </row>
    <row r="48" spans="1:65" ht="114.75">
      <c r="A48" s="320"/>
      <c r="B48" s="455"/>
      <c r="C48" s="470"/>
      <c r="D48" s="321"/>
      <c r="E48" s="40" t="s">
        <v>180</v>
      </c>
      <c r="F48" s="452"/>
      <c r="G48" s="452"/>
      <c r="H48" s="471" t="s">
        <v>186</v>
      </c>
      <c r="I48" s="22" t="s">
        <v>201</v>
      </c>
      <c r="J48" s="471" t="s">
        <v>210</v>
      </c>
      <c r="K48" s="472" t="s">
        <v>17</v>
      </c>
      <c r="L48" s="23" t="s">
        <v>214</v>
      </c>
      <c r="M48" s="455"/>
      <c r="N48" s="456"/>
      <c r="O48" s="457"/>
      <c r="P48" s="456"/>
      <c r="Q48" s="459"/>
      <c r="R48" s="459"/>
      <c r="S48" s="460" t="s">
        <v>224</v>
      </c>
      <c r="T48" s="460" t="s">
        <v>252</v>
      </c>
      <c r="U48" s="461" t="s">
        <v>476</v>
      </c>
      <c r="V48" s="461" t="s">
        <v>210</v>
      </c>
      <c r="W48" s="473" t="s">
        <v>21</v>
      </c>
      <c r="X48" s="460" t="s">
        <v>119</v>
      </c>
      <c r="Y48" s="460">
        <f t="shared" si="3"/>
        <v>15</v>
      </c>
      <c r="Z48" s="460" t="s">
        <v>119</v>
      </c>
      <c r="AA48" s="460">
        <f t="shared" si="4"/>
        <v>15</v>
      </c>
      <c r="AB48" s="460" t="s">
        <v>119</v>
      </c>
      <c r="AC48" s="460">
        <f t="shared" si="5"/>
        <v>15</v>
      </c>
      <c r="AD48" s="460" t="s">
        <v>119</v>
      </c>
      <c r="AE48" s="460">
        <f t="shared" si="6"/>
        <v>15</v>
      </c>
      <c r="AF48" s="460" t="s">
        <v>119</v>
      </c>
      <c r="AG48" s="460">
        <f t="shared" si="7"/>
        <v>15</v>
      </c>
      <c r="AH48" s="460" t="s">
        <v>119</v>
      </c>
      <c r="AI48" s="460">
        <f t="shared" si="8"/>
        <v>15</v>
      </c>
      <c r="AJ48" s="460" t="s">
        <v>120</v>
      </c>
      <c r="AK48" s="462">
        <f t="shared" ref="AK48:AK50" si="64">+IF(AJ48="Completa",10,IF(AJ48="Incompleta",5,""))</f>
        <v>10</v>
      </c>
      <c r="AL48" s="463">
        <f>IF((SUM(Y48,AA48,AC48,AE48,AG48,AI48,AK48)=0),"",(SUM(Y48,AA48,AC48,AE48,AG48,AI48,AK48)))</f>
        <v>100</v>
      </c>
      <c r="AM48" s="463" t="str">
        <f>IF(AL48&lt;=85,"Débil",IF(AL48&lt;=95,"Moderado",IF(AL48=100,"Fuerte","")))</f>
        <v>Fuerte</v>
      </c>
      <c r="AN48" s="465" t="s">
        <v>357</v>
      </c>
      <c r="AO48" s="106">
        <f>IFERROR(VLOOKUP(AN48,'[18]Seguridad Información'!$C$61:$D$63,2,0),"")</f>
        <v>20</v>
      </c>
      <c r="AP48" s="465" t="s">
        <v>350</v>
      </c>
      <c r="AQ48" s="106">
        <f>IFERROR(VLOOKUP(AP48,'[18]Seguridad Información'!$E$61:$F$64,2,0),"")</f>
        <v>100</v>
      </c>
      <c r="AR48" s="465" t="s">
        <v>355</v>
      </c>
      <c r="AS48" s="106">
        <f>IFERROR(VLOOKUP(AR48,'[18]Seguridad Información'!$G$61:$H$64,2,0),"")</f>
        <v>60</v>
      </c>
      <c r="AT48" s="465" t="s">
        <v>352</v>
      </c>
      <c r="AU48" s="474">
        <f>IFERROR(VLOOKUP(AT48,'[18]Seguridad Información'!$I$61:$J$65,2,0),"")</f>
        <v>100</v>
      </c>
      <c r="AV48" s="444"/>
      <c r="AW48" s="475">
        <f t="shared" ref="AW48:AW50" si="65">IFERROR(AVERAGE(AO48,AQ48,AS48,AU48),"")</f>
        <v>70</v>
      </c>
      <c r="AX48" s="463" t="str">
        <f t="shared" ref="AX48:AX50" si="66">IF(AW48&lt;=80,"Débil",IF(AW48&lt;=90,"Moderado",IF(AW48=100,"Fuerte","")))</f>
        <v>Débil</v>
      </c>
      <c r="AY48" s="475" t="str">
        <f>IFERROR(VLOOKUP((CONCATENATE(AM48,AX48)),[18]Listados!$U$3:$V$11,2,FALSE),"")</f>
        <v>Débil</v>
      </c>
      <c r="AZ48" s="463">
        <f>IF(ISBLANK(AY48),"",IF(AY48="Débil", 0, IF(AY48="Moderado",50,100)))</f>
        <v>0</v>
      </c>
      <c r="BA48" s="476"/>
      <c r="BB48" s="476"/>
      <c r="BC48" s="477">
        <f>+IF(AND(W48="Preventivo",BB47="Fuerte"),2,IF(AND(W48="Preventivo",BB47="Moderado"),1,0))</f>
        <v>0</v>
      </c>
      <c r="BD48" s="477">
        <f>+IF(AND(W48="Detectivo/Correctivo",$BB47="Fuerte"),2,IF(AND(W48="Detectivo/Correctivo",$BB48="Moderado"),1,IF(AND(W48="Preventivo",$BB47="Fuerte"),1,0)))</f>
        <v>0</v>
      </c>
      <c r="BE48" s="477">
        <f>+N47-BC48</f>
        <v>1</v>
      </c>
      <c r="BF48" s="477">
        <f>+P47-BD48</f>
        <v>2</v>
      </c>
      <c r="BG48" s="459"/>
      <c r="BH48" s="459"/>
      <c r="BI48" s="459"/>
      <c r="BJ48" s="469"/>
      <c r="BK48" s="469"/>
      <c r="BL48" s="469"/>
      <c r="BM48" s="300"/>
    </row>
    <row r="49" spans="1:65" ht="114.75">
      <c r="A49" s="320">
        <v>2</v>
      </c>
      <c r="B49" s="478" t="s">
        <v>98</v>
      </c>
      <c r="C49" s="470" t="str">
        <f>IFERROR(VLOOKUP(B49,[18]Listados!B$3:C$20,2,FALSE),"")</f>
        <v>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v>
      </c>
      <c r="D49" s="357" t="s">
        <v>529</v>
      </c>
      <c r="E49" s="40" t="s">
        <v>182</v>
      </c>
      <c r="F49" s="452" t="s">
        <v>182</v>
      </c>
      <c r="G49" s="358" t="s">
        <v>199</v>
      </c>
      <c r="H49" s="471" t="s">
        <v>188</v>
      </c>
      <c r="I49" s="22" t="s">
        <v>203</v>
      </c>
      <c r="J49" s="471" t="s">
        <v>211</v>
      </c>
      <c r="K49" s="472" t="s">
        <v>17</v>
      </c>
      <c r="L49" s="23" t="s">
        <v>215</v>
      </c>
      <c r="M49" s="455" t="s">
        <v>22</v>
      </c>
      <c r="N49" s="456">
        <f>+VLOOKUP(M49,[18]Listados!$K$8:$L$12,2,0)</f>
        <v>1</v>
      </c>
      <c r="O49" s="457" t="s">
        <v>33</v>
      </c>
      <c r="P49" s="456">
        <f>+VLOOKUP(O49,[18]Listados!$K$13:$L$17,2,0)</f>
        <v>2</v>
      </c>
      <c r="Q49" s="459" t="str">
        <f>IF(AND(M49&lt;&gt;"",O49&lt;&gt;""),VLOOKUP(M49&amp;O49,[18]Listados!$M$3:$N$27,2,FALSE),"")</f>
        <v>Bajo</v>
      </c>
      <c r="R49" s="459" t="str">
        <f>+VLOOKUP(Q49,[18]Listados!$P$3:$Q$6,2,FALSE)</f>
        <v>Asumir el riesgo</v>
      </c>
      <c r="S49" s="460" t="s">
        <v>220</v>
      </c>
      <c r="T49" s="460" t="s">
        <v>248</v>
      </c>
      <c r="U49" s="48" t="s">
        <v>458</v>
      </c>
      <c r="V49" s="461" t="s">
        <v>211</v>
      </c>
      <c r="W49" s="479" t="s">
        <v>21</v>
      </c>
      <c r="X49" s="460" t="s">
        <v>119</v>
      </c>
      <c r="Y49" s="460">
        <f t="shared" si="3"/>
        <v>15</v>
      </c>
      <c r="Z49" s="480" t="s">
        <v>119</v>
      </c>
      <c r="AA49" s="460">
        <f t="shared" si="4"/>
        <v>15</v>
      </c>
      <c r="AB49" s="460" t="s">
        <v>119</v>
      </c>
      <c r="AC49" s="460">
        <f t="shared" si="5"/>
        <v>15</v>
      </c>
      <c r="AD49" s="460" t="s">
        <v>119</v>
      </c>
      <c r="AE49" s="460">
        <f t="shared" si="6"/>
        <v>15</v>
      </c>
      <c r="AF49" s="460" t="s">
        <v>119</v>
      </c>
      <c r="AG49" s="460">
        <f t="shared" si="7"/>
        <v>15</v>
      </c>
      <c r="AH49" s="460" t="s">
        <v>119</v>
      </c>
      <c r="AI49" s="460">
        <f t="shared" si="8"/>
        <v>15</v>
      </c>
      <c r="AJ49" s="460" t="s">
        <v>120</v>
      </c>
      <c r="AK49" s="462">
        <f t="shared" si="64"/>
        <v>10</v>
      </c>
      <c r="AL49" s="463">
        <f t="shared" ref="AL49:AL50" si="67">IF((SUM(Y49,AA49,AC49,AE49,AG49,AI49,AK49)=0),"",(SUM(Y49,AA49,AC49,AE49,AG49,AI49,AK49)))</f>
        <v>100</v>
      </c>
      <c r="AM49" s="463" t="str">
        <f t="shared" ref="AM49:AM50" si="68">IF(AL49&lt;=85,"Débil",IF(AL49&lt;=95,"Moderado",IF(AL49=100,"Fuerte","")))</f>
        <v>Fuerte</v>
      </c>
      <c r="AN49" s="465" t="s">
        <v>357</v>
      </c>
      <c r="AO49" s="106">
        <f>IFERROR(VLOOKUP(AN49,'[18]Seguridad Información'!$C$61:$D$63,2,0),"")</f>
        <v>20</v>
      </c>
      <c r="AP49" s="465" t="s">
        <v>350</v>
      </c>
      <c r="AQ49" s="106">
        <f>IFERROR(VLOOKUP(AP49,'[18]Seguridad Información'!$E$61:$F$64,2,0),"")</f>
        <v>100</v>
      </c>
      <c r="AR49" s="465" t="s">
        <v>355</v>
      </c>
      <c r="AS49" s="106">
        <f>IFERROR(VLOOKUP(AR49,'[18]Seguridad Información'!$G$61:$H$64,2,0),"")</f>
        <v>60</v>
      </c>
      <c r="AT49" s="465" t="s">
        <v>352</v>
      </c>
      <c r="AU49" s="474">
        <f>IFERROR(VLOOKUP(AT49,'[18]Seguridad Información'!$I$61:$J$65,2,0),"")</f>
        <v>100</v>
      </c>
      <c r="AV49" s="444"/>
      <c r="AW49" s="475">
        <f t="shared" si="65"/>
        <v>70</v>
      </c>
      <c r="AX49" s="463" t="str">
        <f t="shared" si="66"/>
        <v>Débil</v>
      </c>
      <c r="AY49" s="475" t="str">
        <f>IFERROR(VLOOKUP((CONCATENATE(AM49,AX49)),[18]Listados!$U$3:$V$11,2,FALSE),"")</f>
        <v>Débil</v>
      </c>
      <c r="AZ49" s="463">
        <f t="shared" ref="AZ49:AZ50" si="69">IF(ISBLANK(AY49),"",IF(AY49="Débil", 0, IF(AY49="Moderado",50,100)))</f>
        <v>0</v>
      </c>
      <c r="BA49" s="476">
        <f>AVERAGE(AZ49:AZ50)</f>
        <v>0</v>
      </c>
      <c r="BB49" s="476" t="str">
        <f>IF(BA49&lt;=50, "Débil", IF(BA49&lt;=99,"Moderado","Fuerte"))</f>
        <v>Débil</v>
      </c>
      <c r="BC49" s="477">
        <f>+IF(AND(W49="Preventivo",BB49="Fuerte"),2,IF(AND(W49="Preventivo",BB49="Moderado"),1,0))</f>
        <v>0</v>
      </c>
      <c r="BD49" s="477">
        <f>+IF(AND(W49="Detectivo/Correctivo",$BB49="Fuerte"),2,IF(AND(W49="Detectivo/Correctivo",$BB49="Moderado"),1,IF(AND(W49="Preventivo",$BB49="Fuerte"),1,0)))</f>
        <v>0</v>
      </c>
      <c r="BE49" s="477">
        <f>+N49-BC49</f>
        <v>1</v>
      </c>
      <c r="BF49" s="477">
        <f>+P49-BD49</f>
        <v>2</v>
      </c>
      <c r="BG49" s="459" t="str">
        <f>+VLOOKUP(MIN(BE49,BE50),[18]Listados!$J$18:$K$24,2,TRUE)</f>
        <v>Rara Vez</v>
      </c>
      <c r="BH49" s="459" t="str">
        <f>+VLOOKUP(MIN(BF49,BF50),[18]Listados!$J$26:$K$32,2,TRUE)</f>
        <v>Menor</v>
      </c>
      <c r="BI49" s="459" t="str">
        <f>IF(AND(BG49&lt;&gt;"",BH49&lt;&gt;""),VLOOKUP(BG49&amp;BH49,[18]Listados!$M$3:$N$27,2,FALSE),"")</f>
        <v>Bajo</v>
      </c>
      <c r="BJ49" s="469" t="str">
        <f>+IF($R49="Asumir el riesgo","NA","")</f>
        <v>NA</v>
      </c>
      <c r="BK49" s="469" t="str">
        <f>+IF($R49="Asumir el riesgo","NA","")</f>
        <v>NA</v>
      </c>
      <c r="BL49" s="469" t="str">
        <f>+IF($R49="Asumir el riesgo","NA","")</f>
        <v>NA</v>
      </c>
      <c r="BM49" s="300" t="str">
        <f>+IF($R49="Asumir el riesgo","NA","")</f>
        <v>NA</v>
      </c>
    </row>
    <row r="50" spans="1:65" ht="102.75" thickBot="1">
      <c r="A50" s="355"/>
      <c r="B50" s="356"/>
      <c r="C50" s="308"/>
      <c r="D50" s="310"/>
      <c r="E50" s="120" t="s">
        <v>182</v>
      </c>
      <c r="F50" s="312"/>
      <c r="G50" s="312"/>
      <c r="H50" s="121" t="s">
        <v>191</v>
      </c>
      <c r="I50" s="122" t="s">
        <v>203</v>
      </c>
      <c r="J50" s="121" t="s">
        <v>211</v>
      </c>
      <c r="K50" s="123" t="s">
        <v>17</v>
      </c>
      <c r="L50" s="124" t="s">
        <v>215</v>
      </c>
      <c r="M50" s="314"/>
      <c r="N50" s="316"/>
      <c r="O50" s="318"/>
      <c r="P50" s="316"/>
      <c r="Q50" s="302"/>
      <c r="R50" s="302"/>
      <c r="S50" s="125" t="s">
        <v>221</v>
      </c>
      <c r="T50" s="125" t="s">
        <v>297</v>
      </c>
      <c r="U50" s="126" t="s">
        <v>530</v>
      </c>
      <c r="V50" s="126" t="s">
        <v>211</v>
      </c>
      <c r="W50" s="183" t="s">
        <v>21</v>
      </c>
      <c r="X50" s="125" t="s">
        <v>119</v>
      </c>
      <c r="Y50" s="125">
        <f t="shared" si="3"/>
        <v>15</v>
      </c>
      <c r="Z50" s="184" t="s">
        <v>119</v>
      </c>
      <c r="AA50" s="125">
        <f t="shared" si="4"/>
        <v>15</v>
      </c>
      <c r="AB50" s="125" t="s">
        <v>119</v>
      </c>
      <c r="AC50" s="125">
        <f t="shared" si="5"/>
        <v>15</v>
      </c>
      <c r="AD50" s="125" t="s">
        <v>119</v>
      </c>
      <c r="AE50" s="125">
        <f t="shared" si="6"/>
        <v>15</v>
      </c>
      <c r="AF50" s="125" t="s">
        <v>119</v>
      </c>
      <c r="AG50" s="125">
        <f t="shared" si="7"/>
        <v>15</v>
      </c>
      <c r="AH50" s="125" t="s">
        <v>119</v>
      </c>
      <c r="AI50" s="125">
        <f t="shared" si="8"/>
        <v>15</v>
      </c>
      <c r="AJ50" s="125" t="s">
        <v>120</v>
      </c>
      <c r="AK50" s="128">
        <f t="shared" si="64"/>
        <v>10</v>
      </c>
      <c r="AL50" s="129">
        <f t="shared" si="67"/>
        <v>100</v>
      </c>
      <c r="AM50" s="129" t="str">
        <f t="shared" si="68"/>
        <v>Fuerte</v>
      </c>
      <c r="AN50" s="148" t="s">
        <v>357</v>
      </c>
      <c r="AO50" s="185">
        <f>IFERROR(VLOOKUP(AN50,'[18]Seguridad Información'!$C$61:$D$63,2,0),"")</f>
        <v>20</v>
      </c>
      <c r="AP50" s="148" t="s">
        <v>350</v>
      </c>
      <c r="AQ50" s="185">
        <f>IFERROR(VLOOKUP(AP50,'[18]Seguridad Información'!$E$61:$F$64,2,0),"")</f>
        <v>100</v>
      </c>
      <c r="AR50" s="148" t="s">
        <v>351</v>
      </c>
      <c r="AS50" s="185">
        <f>IFERROR(VLOOKUP(AR50,'[18]Seguridad Información'!$G$61:$H$64,2,0),"")</f>
        <v>100</v>
      </c>
      <c r="AT50" s="148" t="s">
        <v>352</v>
      </c>
      <c r="AU50" s="133">
        <f>IFERROR(VLOOKUP(AT50,'[18]Seguridad Información'!$I$61:$J$65,2,0),"")</f>
        <v>100</v>
      </c>
      <c r="AV50" s="133"/>
      <c r="AW50" s="134">
        <f t="shared" si="65"/>
        <v>80</v>
      </c>
      <c r="AX50" s="129" t="str">
        <f t="shared" si="66"/>
        <v>Débil</v>
      </c>
      <c r="AY50" s="134" t="str">
        <f>IFERROR(VLOOKUP((CONCATENATE(AM50,AX50)),[18]Listados!$U$3:$V$11,2,FALSE),"")</f>
        <v>Débil</v>
      </c>
      <c r="AZ50" s="129">
        <f t="shared" si="69"/>
        <v>0</v>
      </c>
      <c r="BA50" s="324"/>
      <c r="BB50" s="324"/>
      <c r="BC50" s="135">
        <f>+IF(AND(W50="Preventivo",BB49="Fuerte"),2,IF(AND(W50="Preventivo",BB49="Moderado"),1,0))</f>
        <v>0</v>
      </c>
      <c r="BD50" s="135">
        <f>+IF(AND(W50="Detectivo/Correctivo",$BB49="Fuerte"),2,IF(AND(W50="Detectivo/Correctivo",$BB50="Moderado"),1,IF(AND(W50="Preventivo",$BB49="Fuerte"),1,0)))</f>
        <v>0</v>
      </c>
      <c r="BE50" s="135">
        <f>+N49-BC50</f>
        <v>1</v>
      </c>
      <c r="BF50" s="135">
        <f>+P49-BD50</f>
        <v>2</v>
      </c>
      <c r="BG50" s="302"/>
      <c r="BH50" s="302"/>
      <c r="BI50" s="302"/>
      <c r="BJ50" s="303"/>
      <c r="BK50" s="303"/>
      <c r="BL50" s="303"/>
      <c r="BM50" s="306"/>
    </row>
    <row r="51" spans="1:65" ht="72">
      <c r="A51" s="344">
        <v>1</v>
      </c>
      <c r="B51" s="345" t="s">
        <v>89</v>
      </c>
      <c r="C51" s="346" t="str">
        <f>IFERROR(VLOOKUP(B51,[19]Listados!B$3:C$20,2,FALSE),"")</f>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
      <c r="D51" s="347" t="s">
        <v>531</v>
      </c>
      <c r="E51" s="226" t="s">
        <v>180</v>
      </c>
      <c r="F51" s="349" t="s">
        <v>180</v>
      </c>
      <c r="G51" s="349" t="s">
        <v>197</v>
      </c>
      <c r="H51" s="227" t="s">
        <v>192</v>
      </c>
      <c r="I51" s="227" t="s">
        <v>201</v>
      </c>
      <c r="J51" s="227" t="s">
        <v>204</v>
      </c>
      <c r="K51" s="226" t="s">
        <v>17</v>
      </c>
      <c r="L51" s="226" t="s">
        <v>215</v>
      </c>
      <c r="M51" s="345" t="s">
        <v>45</v>
      </c>
      <c r="N51" s="350">
        <f>+VLOOKUP(M51,[19]Listados!$K$8:$L$12,2,0)</f>
        <v>3</v>
      </c>
      <c r="O51" s="351" t="s">
        <v>33</v>
      </c>
      <c r="P51" s="350">
        <f>+VLOOKUP(O51,[19]Listados!$K$13:$L$17,2,0)</f>
        <v>2</v>
      </c>
      <c r="Q51" s="334" t="str">
        <f>IF(AND(M51&lt;&gt;"",O51&lt;&gt;""),VLOOKUP(M51&amp;O51,[19]Listados!$M$3:$N$27,2,FALSE),"")</f>
        <v>Moderado</v>
      </c>
      <c r="R51" s="334" t="str">
        <f>+VLOOKUP(Q51,[19]Listados!$P$3:$Q$6,2,FALSE)</f>
        <v xml:space="preserve"> Reducir el riesgo</v>
      </c>
      <c r="S51" s="235" t="s">
        <v>222</v>
      </c>
      <c r="T51" s="235" t="s">
        <v>275</v>
      </c>
      <c r="U51" s="228" t="s">
        <v>532</v>
      </c>
      <c r="V51" s="228" t="s">
        <v>204</v>
      </c>
      <c r="W51" s="235" t="s">
        <v>21</v>
      </c>
      <c r="X51" s="235" t="s">
        <v>119</v>
      </c>
      <c r="Y51" s="235">
        <f t="shared" si="3"/>
        <v>15</v>
      </c>
      <c r="Z51" s="235" t="s">
        <v>119</v>
      </c>
      <c r="AA51" s="235">
        <f t="shared" si="4"/>
        <v>15</v>
      </c>
      <c r="AB51" s="235" t="s">
        <v>119</v>
      </c>
      <c r="AC51" s="235">
        <f t="shared" si="5"/>
        <v>15</v>
      </c>
      <c r="AD51" s="235" t="s">
        <v>119</v>
      </c>
      <c r="AE51" s="235">
        <f t="shared" si="6"/>
        <v>15</v>
      </c>
      <c r="AF51" s="235" t="s">
        <v>119</v>
      </c>
      <c r="AG51" s="235">
        <f t="shared" si="7"/>
        <v>15</v>
      </c>
      <c r="AH51" s="235" t="s">
        <v>119</v>
      </c>
      <c r="AI51" s="235">
        <f t="shared" si="8"/>
        <v>15</v>
      </c>
      <c r="AJ51" s="235" t="s">
        <v>120</v>
      </c>
      <c r="AK51" s="229">
        <f>+IF(AJ51="Completa",10,IF(AJ51="Incompleta",5,""))</f>
        <v>10</v>
      </c>
      <c r="AL51" s="233">
        <f>IF((SUM(Y51,AA51,AC51,AE51,AG51,AI51,AK51)=0),"",(SUM(Y51,AA51,AC51,AE51,AG51,AI51,AK51)))</f>
        <v>100</v>
      </c>
      <c r="AM51" s="233" t="str">
        <f>IF(AL51&lt;=85,"Débil",IF(AL51&lt;=95,"Moderado",IF(AL51=100,"Fuerte","")))</f>
        <v>Fuerte</v>
      </c>
      <c r="AN51" s="230" t="s">
        <v>353</v>
      </c>
      <c r="AO51" s="230">
        <f>IFERROR(VLOOKUP(AN51,'[19]Seguridad Información'!$C$61:$D$63,2,0),"")</f>
        <v>60</v>
      </c>
      <c r="AP51" s="230" t="s">
        <v>350</v>
      </c>
      <c r="AQ51" s="230">
        <f>IFERROR(VLOOKUP(AP51,'[19]Seguridad Información'!$E$61:$F$64,2,0),"")</f>
        <v>100</v>
      </c>
      <c r="AR51" s="230" t="s">
        <v>355</v>
      </c>
      <c r="AS51" s="230">
        <f>IFERROR(VLOOKUP(AR51,'[19]Seguridad Información'!$G$61:$H$64,2,0),"")</f>
        <v>60</v>
      </c>
      <c r="AT51" s="230" t="s">
        <v>352</v>
      </c>
      <c r="AU51" s="231">
        <f>IFERROR(VLOOKUP(AT51,'[19]Seguridad Información'!$I$61:$J$65,2,0),"")</f>
        <v>100</v>
      </c>
      <c r="AV51" s="231"/>
      <c r="AW51" s="232">
        <f>IFERROR(AVERAGE(AO51,AQ51,AS51,AU51),"")</f>
        <v>80</v>
      </c>
      <c r="AX51" s="233" t="str">
        <f>IF(AW51&lt;=80,"Débil",IF(AW51&lt;=90,"Moderado",IF(AW51=100,"Fuerte","")))</f>
        <v>Débil</v>
      </c>
      <c r="AY51" s="232" t="str">
        <f>IFERROR(VLOOKUP((CONCATENATE(AM51,AX51)),[19]Listados!$U$3:$V$11,2,FALSE),"")</f>
        <v>Débil</v>
      </c>
      <c r="AZ51" s="233">
        <f>IF(ISBLANK(AY51),"",IF(AY51="Débil", 0, IF(AY51="Moderado",50,100)))</f>
        <v>0</v>
      </c>
      <c r="BA51" s="352">
        <f>AVERAGE(AZ51:AZ52)</f>
        <v>0</v>
      </c>
      <c r="BB51" s="352" t="str">
        <f>IF(BA51&lt;=50, "Débil", IF(BA51&lt;=99,"Moderado","Fuerte"))</f>
        <v>Débil</v>
      </c>
      <c r="BC51" s="234">
        <f>+IF(AND(W51="Preventivo",BB51="Fuerte"),2,IF(AND(W51="Preventivo",BB51="Moderado"),1,0))</f>
        <v>0</v>
      </c>
      <c r="BD51" s="234">
        <f>+IF(AND(W51="Detectivo/Correctivo",$BB51="Fuerte"),2,IF(AND(W51="Detectivo/Correctivo",$BB51="Moderado"),1,IF(AND(W51="Preventivo",$BB51="Fuerte"),1,0)))</f>
        <v>0</v>
      </c>
      <c r="BE51" s="234">
        <f>+N51-BC51</f>
        <v>3</v>
      </c>
      <c r="BF51" s="234">
        <f>+P51-BD51</f>
        <v>2</v>
      </c>
      <c r="BG51" s="334" t="str">
        <f>+VLOOKUP(MIN(BE51,BE52),[19]Listados!$J$18:$K$24,2,TRUE)</f>
        <v>Posible</v>
      </c>
      <c r="BH51" s="334" t="str">
        <f>+VLOOKUP(MIN(BF51,BF52),[19]Listados!$J$26:$K$32,2,TRUE)</f>
        <v>Menor</v>
      </c>
      <c r="BI51" s="334" t="str">
        <f>IF(AND(BG51&lt;&gt;"",BH51&lt;&gt;""),VLOOKUP(BG51&amp;BH51,[19]Listados!$M$3:$N$27,2,FALSE),"")</f>
        <v>Moderado</v>
      </c>
      <c r="BJ51" s="335" t="s">
        <v>533</v>
      </c>
      <c r="BK51" s="354">
        <v>45323</v>
      </c>
      <c r="BL51" s="335" t="s">
        <v>463</v>
      </c>
      <c r="BM51" s="353" t="s">
        <v>491</v>
      </c>
    </row>
    <row r="52" spans="1:65" ht="96">
      <c r="A52" s="336"/>
      <c r="B52" s="494"/>
      <c r="C52" s="495"/>
      <c r="D52" s="348"/>
      <c r="E52" s="222" t="s">
        <v>180</v>
      </c>
      <c r="F52" s="496"/>
      <c r="G52" s="496"/>
      <c r="H52" s="497" t="s">
        <v>183</v>
      </c>
      <c r="I52" s="223" t="s">
        <v>201</v>
      </c>
      <c r="J52" s="497" t="s">
        <v>204</v>
      </c>
      <c r="K52" s="498" t="s">
        <v>17</v>
      </c>
      <c r="L52" s="222" t="s">
        <v>214</v>
      </c>
      <c r="M52" s="494"/>
      <c r="N52" s="499"/>
      <c r="O52" s="500"/>
      <c r="P52" s="499"/>
      <c r="Q52" s="501"/>
      <c r="R52" s="501"/>
      <c r="S52" s="502" t="s">
        <v>221</v>
      </c>
      <c r="T52" s="502" t="s">
        <v>297</v>
      </c>
      <c r="U52" s="503" t="s">
        <v>534</v>
      </c>
      <c r="V52" s="503" t="s">
        <v>204</v>
      </c>
      <c r="W52" s="502" t="s">
        <v>21</v>
      </c>
      <c r="X52" s="502" t="s">
        <v>119</v>
      </c>
      <c r="Y52" s="502">
        <f t="shared" si="3"/>
        <v>15</v>
      </c>
      <c r="Z52" s="502" t="s">
        <v>119</v>
      </c>
      <c r="AA52" s="502">
        <f t="shared" si="4"/>
        <v>15</v>
      </c>
      <c r="AB52" s="502" t="s">
        <v>119</v>
      </c>
      <c r="AC52" s="502">
        <f t="shared" si="5"/>
        <v>15</v>
      </c>
      <c r="AD52" s="502" t="s">
        <v>119</v>
      </c>
      <c r="AE52" s="502">
        <f t="shared" si="6"/>
        <v>15</v>
      </c>
      <c r="AF52" s="502" t="s">
        <v>119</v>
      </c>
      <c r="AG52" s="502">
        <f t="shared" si="7"/>
        <v>15</v>
      </c>
      <c r="AH52" s="502" t="s">
        <v>119</v>
      </c>
      <c r="AI52" s="502">
        <f t="shared" si="8"/>
        <v>15</v>
      </c>
      <c r="AJ52" s="502" t="s">
        <v>120</v>
      </c>
      <c r="AK52" s="504">
        <f t="shared" ref="AK52:AK54" si="70">+IF(AJ52="Completa",10,IF(AJ52="Incompleta",5,""))</f>
        <v>10</v>
      </c>
      <c r="AL52" s="505">
        <f>IF((SUM(Y52,AA52,AC52,AE52,AG52,AI52,AK52)=0),"",(SUM(Y52,AA52,AC52,AE52,AG52,AI52,AK52)))</f>
        <v>100</v>
      </c>
      <c r="AM52" s="505" t="str">
        <f>IF(AL52&lt;=85,"Débil",IF(AL52&lt;=95,"Moderado",IF(AL52=100,"Fuerte","")))</f>
        <v>Fuerte</v>
      </c>
      <c r="AN52" s="506" t="s">
        <v>357</v>
      </c>
      <c r="AO52" s="225">
        <f>IFERROR(VLOOKUP(AN52,'[19]Seguridad Información'!$C$61:$D$63,2,0),"")</f>
        <v>20</v>
      </c>
      <c r="AP52" s="506" t="s">
        <v>350</v>
      </c>
      <c r="AQ52" s="225">
        <f>IFERROR(VLOOKUP(AP52,'[19]Seguridad Información'!$E$61:$F$64,2,0),"")</f>
        <v>100</v>
      </c>
      <c r="AR52" s="506" t="s">
        <v>355</v>
      </c>
      <c r="AS52" s="225">
        <f>IFERROR(VLOOKUP(AR52,'[19]Seguridad Información'!$G$61:$H$64,2,0),"")</f>
        <v>60</v>
      </c>
      <c r="AT52" s="506" t="s">
        <v>352</v>
      </c>
      <c r="AU52" s="432">
        <f>IFERROR(VLOOKUP(AT52,'[19]Seguridad Información'!$I$61:$J$65,2,0),"")</f>
        <v>100</v>
      </c>
      <c r="AV52" s="432"/>
      <c r="AW52" s="507">
        <f t="shared" ref="AW52:AW54" si="71">IFERROR(AVERAGE(AO52,AQ52,AS52,AU52),"")</f>
        <v>70</v>
      </c>
      <c r="AX52" s="505" t="str">
        <f t="shared" ref="AX52:AX54" si="72">IF(AW52&lt;=80,"Débil",IF(AW52&lt;=90,"Moderado",IF(AW52=100,"Fuerte","")))</f>
        <v>Débil</v>
      </c>
      <c r="AY52" s="507" t="str">
        <f>IFERROR(VLOOKUP((CONCATENATE(AM52,AX52)),[19]Listados!$U$3:$V$11,2,FALSE),"")</f>
        <v>Débil</v>
      </c>
      <c r="AZ52" s="505">
        <f>IF(ISBLANK(AY52),"",IF(AY52="Débil", 0, IF(AY52="Moderado",50,100)))</f>
        <v>0</v>
      </c>
      <c r="BA52" s="508"/>
      <c r="BB52" s="508"/>
      <c r="BC52" s="509">
        <f>+IF(AND(W52="Preventivo",BB51="Fuerte"),2,IF(AND(W52="Preventivo",BB51="Moderado"),1,0))</f>
        <v>0</v>
      </c>
      <c r="BD52" s="509">
        <f>+IF(AND(W52="Detectivo/Correctivo",$BB51="Fuerte"),2,IF(AND(W52="Detectivo/Correctivo",$BB52="Moderado"),1,IF(AND(W52="Preventivo",$BB51="Fuerte"),1,0)))</f>
        <v>0</v>
      </c>
      <c r="BE52" s="509">
        <f>+N51-BC52</f>
        <v>3</v>
      </c>
      <c r="BF52" s="509">
        <f>+P51-BD52</f>
        <v>2</v>
      </c>
      <c r="BG52" s="501"/>
      <c r="BH52" s="501"/>
      <c r="BI52" s="501"/>
      <c r="BJ52" s="510"/>
      <c r="BK52" s="510"/>
      <c r="BL52" s="510"/>
      <c r="BM52" s="326"/>
    </row>
    <row r="53" spans="1:65" ht="108">
      <c r="A53" s="336">
        <v>2</v>
      </c>
      <c r="B53" s="510" t="s">
        <v>89</v>
      </c>
      <c r="C53" s="495" t="str">
        <f>IFERROR(VLOOKUP(B53,[19]Listados!B$3:C$20,2,FALSE),"")</f>
        <v xml:space="preserve"> Administrar el ciclo financiero de ingresos y egresos, derechos y obligaciones, asignado al Ministerio de Justicia y del Derecho mediante la aplicación de procedimientos contables, presupuestales y de tesorería, acordes con la normatividad vigente, con el fin de optimizar el uso y 
ejecución de los recursos financieros del MJD.</v>
      </c>
      <c r="D53" s="339" t="s">
        <v>535</v>
      </c>
      <c r="E53" s="222" t="s">
        <v>182</v>
      </c>
      <c r="F53" s="496" t="s">
        <v>182</v>
      </c>
      <c r="G53" s="496" t="s">
        <v>199</v>
      </c>
      <c r="H53" s="497" t="s">
        <v>188</v>
      </c>
      <c r="I53" s="223" t="s">
        <v>203</v>
      </c>
      <c r="J53" s="497" t="s">
        <v>211</v>
      </c>
      <c r="K53" s="498" t="s">
        <v>17</v>
      </c>
      <c r="L53" s="222" t="s">
        <v>214</v>
      </c>
      <c r="M53" s="494" t="s">
        <v>32</v>
      </c>
      <c r="N53" s="499">
        <f>+VLOOKUP(M53,[19]Listados!$K$8:$L$12,2,0)</f>
        <v>2</v>
      </c>
      <c r="O53" s="500" t="s">
        <v>33</v>
      </c>
      <c r="P53" s="499">
        <f>+VLOOKUP(O53,[19]Listados!$K$13:$L$17,2,0)</f>
        <v>2</v>
      </c>
      <c r="Q53" s="501" t="str">
        <f>IF(AND(M53&lt;&gt;"",O53&lt;&gt;""),VLOOKUP(M53&amp;O53,[19]Listados!$M$3:$N$27,2,FALSE),"")</f>
        <v>Bajo</v>
      </c>
      <c r="R53" s="501" t="str">
        <f>+VLOOKUP(Q53,[19]Listados!$P$3:$Q$6,2,FALSE)</f>
        <v>Asumir el riesgo</v>
      </c>
      <c r="S53" s="502" t="s">
        <v>220</v>
      </c>
      <c r="T53" s="502" t="s">
        <v>248</v>
      </c>
      <c r="U53" s="224" t="s">
        <v>458</v>
      </c>
      <c r="V53" s="503" t="s">
        <v>211</v>
      </c>
      <c r="W53" s="511" t="s">
        <v>21</v>
      </c>
      <c r="X53" s="502" t="s">
        <v>119</v>
      </c>
      <c r="Y53" s="502">
        <f t="shared" si="3"/>
        <v>15</v>
      </c>
      <c r="Z53" s="511" t="s">
        <v>119</v>
      </c>
      <c r="AA53" s="502">
        <f t="shared" si="4"/>
        <v>15</v>
      </c>
      <c r="AB53" s="502" t="s">
        <v>119</v>
      </c>
      <c r="AC53" s="502">
        <f t="shared" si="5"/>
        <v>15</v>
      </c>
      <c r="AD53" s="502" t="s">
        <v>119</v>
      </c>
      <c r="AE53" s="502">
        <f t="shared" si="6"/>
        <v>15</v>
      </c>
      <c r="AF53" s="502" t="s">
        <v>119</v>
      </c>
      <c r="AG53" s="502">
        <f t="shared" si="7"/>
        <v>15</v>
      </c>
      <c r="AH53" s="502" t="s">
        <v>119</v>
      </c>
      <c r="AI53" s="502">
        <f t="shared" si="8"/>
        <v>15</v>
      </c>
      <c r="AJ53" s="502" t="s">
        <v>120</v>
      </c>
      <c r="AK53" s="504">
        <f t="shared" si="70"/>
        <v>10</v>
      </c>
      <c r="AL53" s="505">
        <f t="shared" ref="AL53:AL54" si="73">IF((SUM(Y53,AA53,AC53,AE53,AG53,AI53,AK53)=0),"",(SUM(Y53,AA53,AC53,AE53,AG53,AI53,AK53)))</f>
        <v>100</v>
      </c>
      <c r="AM53" s="505" t="str">
        <f t="shared" ref="AM53:AM54" si="74">IF(AL53&lt;=85,"Débil",IF(AL53&lt;=95,"Moderado",IF(AL53=100,"Fuerte","")))</f>
        <v>Fuerte</v>
      </c>
      <c r="AN53" s="506" t="s">
        <v>357</v>
      </c>
      <c r="AO53" s="225">
        <f>IFERROR(VLOOKUP(AN53,'[19]Seguridad Información'!$C$61:$D$63,2,0),"")</f>
        <v>20</v>
      </c>
      <c r="AP53" s="506" t="s">
        <v>350</v>
      </c>
      <c r="AQ53" s="225">
        <f>IFERROR(VLOOKUP(AP53,'[19]Seguridad Información'!$E$61:$F$64,2,0),"")</f>
        <v>100</v>
      </c>
      <c r="AR53" s="506" t="s">
        <v>355</v>
      </c>
      <c r="AS53" s="225">
        <f>IFERROR(VLOOKUP(AR53,'[19]Seguridad Información'!$G$61:$H$64,2,0),"")</f>
        <v>60</v>
      </c>
      <c r="AT53" s="506" t="s">
        <v>352</v>
      </c>
      <c r="AU53" s="432">
        <f>IFERROR(VLOOKUP(AT53,'[19]Seguridad Información'!$I$61:$J$65,2,0),"")</f>
        <v>100</v>
      </c>
      <c r="AV53" s="432"/>
      <c r="AW53" s="507">
        <f t="shared" si="71"/>
        <v>70</v>
      </c>
      <c r="AX53" s="505" t="str">
        <f t="shared" si="72"/>
        <v>Débil</v>
      </c>
      <c r="AY53" s="507" t="str">
        <f>IFERROR(VLOOKUP((CONCATENATE(AM53,AX53)),[19]Listados!$U$3:$V$11,2,FALSE),"")</f>
        <v>Débil</v>
      </c>
      <c r="AZ53" s="505">
        <f t="shared" ref="AZ53:AZ54" si="75">IF(ISBLANK(AY53),"",IF(AY53="Débil", 0, IF(AY53="Moderado",50,100)))</f>
        <v>0</v>
      </c>
      <c r="BA53" s="508">
        <f>AVERAGE(AZ53:AZ54)</f>
        <v>0</v>
      </c>
      <c r="BB53" s="508" t="str">
        <f>IF(BA53&lt;=50, "Débil", IF(BA53&lt;=99,"Moderado","Fuerte"))</f>
        <v>Débil</v>
      </c>
      <c r="BC53" s="509">
        <f>+IF(AND(W53="Preventivo",BB53="Fuerte"),2,IF(AND(W53="Preventivo",BB53="Moderado"),1,0))</f>
        <v>0</v>
      </c>
      <c r="BD53" s="509">
        <f>+IF(AND(W53="Detectivo/Correctivo",$BB53="Fuerte"),2,IF(AND(W53="Detectivo/Correctivo",$BB53="Moderado"),1,IF(AND(W53="Preventivo",$BB53="Fuerte"),1,0)))</f>
        <v>0</v>
      </c>
      <c r="BE53" s="509">
        <f>+N53-BC53</f>
        <v>2</v>
      </c>
      <c r="BF53" s="509">
        <f>+P53-BD53</f>
        <v>2</v>
      </c>
      <c r="BG53" s="501" t="str">
        <f>+VLOOKUP(MIN(BE53,BE54),[19]Listados!$J$18:$K$24,2,TRUE)</f>
        <v>Improbable</v>
      </c>
      <c r="BH53" s="501" t="str">
        <f>+VLOOKUP(MIN(BF53,BF54),[19]Listados!$J$26:$K$32,2,TRUE)</f>
        <v>Menor</v>
      </c>
      <c r="BI53" s="501" t="str">
        <f>IF(AND(BG53&lt;&gt;"",BH53&lt;&gt;""),VLOOKUP(BG53&amp;BH53,[19]Listados!$M$3:$N$27,2,FALSE),"")</f>
        <v>Bajo</v>
      </c>
      <c r="BJ53" s="510" t="str">
        <f>+IF($R53="Asumir el riesgo","NA","")</f>
        <v>NA</v>
      </c>
      <c r="BK53" s="510" t="str">
        <f>+IF($R53="Asumir el riesgo","NA","")</f>
        <v>NA</v>
      </c>
      <c r="BL53" s="510" t="str">
        <f>+IF($R53="Asumir el riesgo","NA","")</f>
        <v>NA</v>
      </c>
      <c r="BM53" s="326" t="str">
        <f>+IF($R53="Asumir el riesgo","NA","")</f>
        <v>NA</v>
      </c>
    </row>
    <row r="54" spans="1:65" ht="60.75" thickBot="1">
      <c r="A54" s="337"/>
      <c r="B54" s="325"/>
      <c r="C54" s="338"/>
      <c r="D54" s="340"/>
      <c r="E54" s="250" t="s">
        <v>182</v>
      </c>
      <c r="F54" s="341"/>
      <c r="G54" s="341"/>
      <c r="H54" s="251" t="s">
        <v>191</v>
      </c>
      <c r="I54" s="251" t="s">
        <v>201</v>
      </c>
      <c r="J54" s="251" t="s">
        <v>204</v>
      </c>
      <c r="K54" s="250" t="s">
        <v>17</v>
      </c>
      <c r="L54" s="250" t="s">
        <v>214</v>
      </c>
      <c r="M54" s="342"/>
      <c r="N54" s="332"/>
      <c r="O54" s="343"/>
      <c r="P54" s="332"/>
      <c r="Q54" s="328"/>
      <c r="R54" s="328"/>
      <c r="S54" s="249" t="s">
        <v>220</v>
      </c>
      <c r="T54" s="249" t="s">
        <v>273</v>
      </c>
      <c r="U54" s="253" t="s">
        <v>459</v>
      </c>
      <c r="V54" s="253" t="s">
        <v>204</v>
      </c>
      <c r="W54" s="254" t="s">
        <v>21</v>
      </c>
      <c r="X54" s="249" t="s">
        <v>119</v>
      </c>
      <c r="Y54" s="249">
        <f t="shared" si="3"/>
        <v>15</v>
      </c>
      <c r="Z54" s="254" t="s">
        <v>119</v>
      </c>
      <c r="AA54" s="249">
        <f t="shared" si="4"/>
        <v>15</v>
      </c>
      <c r="AB54" s="249" t="s">
        <v>119</v>
      </c>
      <c r="AC54" s="249">
        <f t="shared" si="5"/>
        <v>15</v>
      </c>
      <c r="AD54" s="249" t="s">
        <v>123</v>
      </c>
      <c r="AE54" s="249" t="str">
        <f t="shared" si="6"/>
        <v/>
      </c>
      <c r="AF54" s="249" t="s">
        <v>119</v>
      </c>
      <c r="AG54" s="249">
        <f t="shared" si="7"/>
        <v>15</v>
      </c>
      <c r="AH54" s="249" t="s">
        <v>119</v>
      </c>
      <c r="AI54" s="249">
        <f t="shared" si="8"/>
        <v>15</v>
      </c>
      <c r="AJ54" s="249" t="s">
        <v>120</v>
      </c>
      <c r="AK54" s="252">
        <f t="shared" si="70"/>
        <v>10</v>
      </c>
      <c r="AL54" s="255">
        <f t="shared" si="73"/>
        <v>85</v>
      </c>
      <c r="AM54" s="255" t="str">
        <f t="shared" si="74"/>
        <v>Débil</v>
      </c>
      <c r="AN54" s="256" t="s">
        <v>357</v>
      </c>
      <c r="AO54" s="256">
        <f>IFERROR(VLOOKUP(AN54,'[19]Seguridad Información'!$C$61:$D$63,2,0),"")</f>
        <v>20</v>
      </c>
      <c r="AP54" s="256" t="s">
        <v>350</v>
      </c>
      <c r="AQ54" s="256">
        <f>IFERROR(VLOOKUP(AP54,'[19]Seguridad Información'!$E$61:$F$64,2,0),"")</f>
        <v>100</v>
      </c>
      <c r="AR54" s="256" t="s">
        <v>351</v>
      </c>
      <c r="AS54" s="256">
        <f>IFERROR(VLOOKUP(AR54,'[19]Seguridad Información'!$G$61:$H$64,2,0),"")</f>
        <v>100</v>
      </c>
      <c r="AT54" s="256" t="s">
        <v>352</v>
      </c>
      <c r="AU54" s="257">
        <f>IFERROR(VLOOKUP(AT54,'[19]Seguridad Información'!$I$61:$J$65,2,0),"")</f>
        <v>100</v>
      </c>
      <c r="AV54" s="257"/>
      <c r="AW54" s="258">
        <f t="shared" si="71"/>
        <v>80</v>
      </c>
      <c r="AX54" s="255" t="str">
        <f t="shared" si="72"/>
        <v>Débil</v>
      </c>
      <c r="AY54" s="258" t="str">
        <f>IFERROR(VLOOKUP((CONCATENATE(AM54,AX54)),[19]Listados!$U$3:$V$11,2,FALSE),"")</f>
        <v>Débil</v>
      </c>
      <c r="AZ54" s="255">
        <f t="shared" si="75"/>
        <v>0</v>
      </c>
      <c r="BA54" s="333"/>
      <c r="BB54" s="333"/>
      <c r="BC54" s="259">
        <f>+IF(AND(W54="Preventivo",BB53="Fuerte"),2,IF(AND(W54="Preventivo",BB53="Moderado"),1,0))</f>
        <v>0</v>
      </c>
      <c r="BD54" s="259">
        <f>+IF(AND(W54="Detectivo/Correctivo",$BB53="Fuerte"),2,IF(AND(W54="Detectivo/Correctivo",$BB54="Moderado"),1,IF(AND(W54="Preventivo",$BB53="Fuerte"),1,0)))</f>
        <v>0</v>
      </c>
      <c r="BE54" s="259">
        <f>+N53-BC54</f>
        <v>2</v>
      </c>
      <c r="BF54" s="259">
        <f>+P53-BD54</f>
        <v>2</v>
      </c>
      <c r="BG54" s="328"/>
      <c r="BH54" s="328"/>
      <c r="BI54" s="328"/>
      <c r="BJ54" s="325"/>
      <c r="BK54" s="325"/>
      <c r="BL54" s="325"/>
      <c r="BM54" s="327"/>
    </row>
    <row r="55" spans="1:65" ht="127.5">
      <c r="A55" s="329">
        <v>1</v>
      </c>
      <c r="B55" s="330" t="s">
        <v>104</v>
      </c>
      <c r="C55" s="331" t="str">
        <f>IFERROR(VLOOKUP(B55,[20]Listados!B$3:C$20,2,FALSE),"")</f>
        <v xml:space="preserve"> Liderar y ejecutar las actividades propias de la administración y gestión del talento humano, aplicando la normativa vigente y los procedimientos establecidos en la entidad para contribuir a la consecución de los objtivos institucionales.</v>
      </c>
      <c r="D55" s="309" t="s">
        <v>536</v>
      </c>
      <c r="E55" s="40" t="s">
        <v>181</v>
      </c>
      <c r="F55" s="358" t="s">
        <v>181</v>
      </c>
      <c r="G55" s="358" t="s">
        <v>198</v>
      </c>
      <c r="H55" s="22" t="s">
        <v>187</v>
      </c>
      <c r="I55" s="22" t="s">
        <v>202</v>
      </c>
      <c r="J55" s="22" t="s">
        <v>208</v>
      </c>
      <c r="K55" s="23" t="s">
        <v>17</v>
      </c>
      <c r="L55" s="23" t="s">
        <v>215</v>
      </c>
      <c r="M55" s="330" t="s">
        <v>32</v>
      </c>
      <c r="N55" s="365">
        <f>+VLOOKUP(M55,[20]Listados!$K$8:$L$12,2,0)</f>
        <v>2</v>
      </c>
      <c r="O55" s="374" t="s">
        <v>33</v>
      </c>
      <c r="P55" s="365">
        <f>+VLOOKUP(O55,[20]Listados!$K$13:$L$17,2,0)</f>
        <v>2</v>
      </c>
      <c r="Q55" s="361" t="str">
        <f>IF(AND(M55&lt;&gt;"",O55&lt;&gt;""),VLOOKUP(M55&amp;O55,[20]Listados!$M$3:$N$27,2,FALSE),"")</f>
        <v>Bajo</v>
      </c>
      <c r="R55" s="361" t="str">
        <f>+VLOOKUP(Q55,[20]Listados!$P$3:$Q$6,2,FALSE)</f>
        <v>Asumir el riesgo</v>
      </c>
      <c r="S55" s="97" t="s">
        <v>227</v>
      </c>
      <c r="T55" s="97" t="s">
        <v>279</v>
      </c>
      <c r="U55" s="260" t="s">
        <v>537</v>
      </c>
      <c r="V55" s="48" t="s">
        <v>208</v>
      </c>
      <c r="W55" s="49" t="s">
        <v>21</v>
      </c>
      <c r="X55" s="97" t="s">
        <v>119</v>
      </c>
      <c r="Y55" s="460">
        <f t="shared" si="3"/>
        <v>15</v>
      </c>
      <c r="Z55" s="97" t="s">
        <v>119</v>
      </c>
      <c r="AA55" s="460">
        <f t="shared" si="4"/>
        <v>15</v>
      </c>
      <c r="AB55" s="97" t="s">
        <v>119</v>
      </c>
      <c r="AC55" s="460">
        <f t="shared" si="5"/>
        <v>15</v>
      </c>
      <c r="AD55" s="97" t="s">
        <v>119</v>
      </c>
      <c r="AE55" s="460">
        <f t="shared" si="6"/>
        <v>15</v>
      </c>
      <c r="AF55" s="97" t="s">
        <v>119</v>
      </c>
      <c r="AG55" s="460">
        <f t="shared" si="7"/>
        <v>15</v>
      </c>
      <c r="AH55" s="97" t="s">
        <v>119</v>
      </c>
      <c r="AI55" s="460">
        <f t="shared" si="8"/>
        <v>15</v>
      </c>
      <c r="AJ55" s="97" t="s">
        <v>120</v>
      </c>
      <c r="AK55" s="99">
        <f>+IF(AJ55="Completa",10,IF(AJ55="Incompleta",5,""))</f>
        <v>10</v>
      </c>
      <c r="AL55" s="103">
        <f>IF((SUM(Y55,AA55,AC55,AE55,AG55,AI55,AK55)=0),"",(SUM(Y55,AA55,AC55,AE55,AG55,AI55,AK55)))</f>
        <v>100</v>
      </c>
      <c r="AM55" s="103" t="str">
        <f>IF(AL55&lt;=85,"Débil",IF(AL55&lt;=95,"Moderado",IF(AL55=100,"Fuerte","")))</f>
        <v>Fuerte</v>
      </c>
      <c r="AN55" s="106" t="s">
        <v>357</v>
      </c>
      <c r="AO55" s="106">
        <f>IFERROR(VLOOKUP(AN55,'[20]Seguridad Información'!$C$61:$D$63,2,0),"")</f>
        <v>20</v>
      </c>
      <c r="AP55" s="106" t="s">
        <v>350</v>
      </c>
      <c r="AQ55" s="106">
        <f>IFERROR(VLOOKUP(AP55,'[20]Seguridad Información'!$E$61:$F$64,2,0),"")</f>
        <v>100</v>
      </c>
      <c r="AR55" s="106" t="s">
        <v>355</v>
      </c>
      <c r="AS55" s="106">
        <f>IFERROR(VLOOKUP(AR55,'[20]Seguridad Información'!$G$61:$H$64,2,0),"")</f>
        <v>60</v>
      </c>
      <c r="AT55" s="106" t="s">
        <v>352</v>
      </c>
      <c r="AU55" s="50">
        <f>IFERROR(VLOOKUP(AT55,'[20]Seguridad Información'!$I$61:$J$65,2,0),"")</f>
        <v>100</v>
      </c>
      <c r="AV55" s="50"/>
      <c r="AW55" s="19">
        <f>IFERROR(AVERAGE(AO55,AQ55,AS55,AU55),"")</f>
        <v>70</v>
      </c>
      <c r="AX55" s="103" t="str">
        <f>IF(AW55&lt;=80,"Débil",IF(AW55&lt;=90,"Moderado",IF(AW55=100,"Fuerte","")))</f>
        <v>Débil</v>
      </c>
      <c r="AY55" s="19" t="str">
        <f>IFERROR(VLOOKUP((CONCATENATE(AM55,AX55)),[20]Listados!$U$3:$V$11,2,FALSE),"")</f>
        <v>Débil</v>
      </c>
      <c r="AZ55" s="103">
        <f>IF(ISBLANK(AY55),"",IF(AY55="Débil", 0, IF(AY55="Moderado",50,100)))</f>
        <v>0</v>
      </c>
      <c r="BA55" s="367">
        <f>AVERAGE(AZ55:AZ56)</f>
        <v>0</v>
      </c>
      <c r="BB55" s="367" t="str">
        <f>IF(BA55&lt;=50, "Débil", IF(BA55&lt;=99,"Moderado","Fuerte"))</f>
        <v>Débil</v>
      </c>
      <c r="BC55" s="51">
        <f>+IF(AND(W55="Preventivo",BB55="Fuerte"),2,IF(AND(W55="Preventivo",BB55="Moderado"),1,0))</f>
        <v>0</v>
      </c>
      <c r="BD55" s="51">
        <f>+IF(AND(W55="Detectivo/Correctivo",$BB55="Fuerte"),2,IF(AND(W55="Detectivo/Correctivo",$BB55="Moderado"),1,IF(AND(W55="Preventivo",$BB55="Fuerte"),1,0)))</f>
        <v>0</v>
      </c>
      <c r="BE55" s="51">
        <f>+N55-BC55</f>
        <v>2</v>
      </c>
      <c r="BF55" s="51">
        <f>+P55-BD55</f>
        <v>2</v>
      </c>
      <c r="BG55" s="361" t="str">
        <f>+VLOOKUP(MIN(BE55,BE56),[20]Listados!$J$18:$K$24,2,TRUE)</f>
        <v>Improbable</v>
      </c>
      <c r="BH55" s="361" t="str">
        <f>+VLOOKUP(MIN(BF55,BF56),[20]Listados!$J$26:$K$32,2,TRUE)</f>
        <v>Menor</v>
      </c>
      <c r="BI55" s="361" t="str">
        <f>IF(AND(BG55&lt;&gt;"",BH55&lt;&gt;""),VLOOKUP(BG55&amp;BH55,[20]Listados!$M$3:$N$27,2,FALSE),"")</f>
        <v>Bajo</v>
      </c>
      <c r="BJ55" s="469" t="str">
        <f>+IF($R55="Asumir el riesgo","NA","")</f>
        <v>NA</v>
      </c>
      <c r="BK55" s="469" t="str">
        <f>+IF($R55="Asumir el riesgo","NA","")</f>
        <v>NA</v>
      </c>
      <c r="BL55" s="469" t="str">
        <f>+IF($R55="Asumir el riesgo","NA","")</f>
        <v>NA</v>
      </c>
      <c r="BM55" s="300" t="str">
        <f>+IF($R55="Asumir el riesgo","NA","")</f>
        <v>NA</v>
      </c>
    </row>
    <row r="56" spans="1:65" ht="114.75">
      <c r="A56" s="320"/>
      <c r="B56" s="455"/>
      <c r="C56" s="470"/>
      <c r="D56" s="321"/>
      <c r="E56" s="40" t="s">
        <v>180</v>
      </c>
      <c r="F56" s="452"/>
      <c r="G56" s="452"/>
      <c r="H56" s="471" t="s">
        <v>183</v>
      </c>
      <c r="I56" s="22" t="s">
        <v>201</v>
      </c>
      <c r="J56" s="471" t="s">
        <v>204</v>
      </c>
      <c r="K56" s="472" t="s">
        <v>17</v>
      </c>
      <c r="L56" s="23" t="s">
        <v>214</v>
      </c>
      <c r="M56" s="455"/>
      <c r="N56" s="456"/>
      <c r="O56" s="457"/>
      <c r="P56" s="456"/>
      <c r="Q56" s="459"/>
      <c r="R56" s="459"/>
      <c r="S56" s="460" t="s">
        <v>221</v>
      </c>
      <c r="T56" s="460" t="s">
        <v>297</v>
      </c>
      <c r="U56" s="512" t="s">
        <v>538</v>
      </c>
      <c r="V56" s="461" t="s">
        <v>204</v>
      </c>
      <c r="W56" s="473" t="s">
        <v>21</v>
      </c>
      <c r="X56" s="460" t="s">
        <v>119</v>
      </c>
      <c r="Y56" s="460">
        <f t="shared" si="3"/>
        <v>15</v>
      </c>
      <c r="Z56" s="460" t="s">
        <v>119</v>
      </c>
      <c r="AA56" s="460">
        <f t="shared" si="4"/>
        <v>15</v>
      </c>
      <c r="AB56" s="460" t="s">
        <v>119</v>
      </c>
      <c r="AC56" s="460">
        <f t="shared" si="5"/>
        <v>15</v>
      </c>
      <c r="AD56" s="460" t="s">
        <v>119</v>
      </c>
      <c r="AE56" s="460">
        <f t="shared" si="6"/>
        <v>15</v>
      </c>
      <c r="AF56" s="460" t="s">
        <v>119</v>
      </c>
      <c r="AG56" s="460">
        <f t="shared" si="7"/>
        <v>15</v>
      </c>
      <c r="AH56" s="460" t="s">
        <v>119</v>
      </c>
      <c r="AI56" s="460">
        <f t="shared" si="8"/>
        <v>15</v>
      </c>
      <c r="AJ56" s="460" t="s">
        <v>120</v>
      </c>
      <c r="AK56" s="462">
        <f t="shared" ref="AK56:AK58" si="76">+IF(AJ56="Completa",10,IF(AJ56="Incompleta",5,""))</f>
        <v>10</v>
      </c>
      <c r="AL56" s="463">
        <f>IF((SUM(Y56,AA56,AC56,AE56,AG56,AI56,AK56)=0),"",(SUM(Y56,AA56,AC56,AE56,AG56,AI56,AK56)))</f>
        <v>100</v>
      </c>
      <c r="AM56" s="463" t="str">
        <f>IF(AL56&lt;=85,"Débil",IF(AL56&lt;=95,"Moderado",IF(AL56=100,"Fuerte","")))</f>
        <v>Fuerte</v>
      </c>
      <c r="AN56" s="465" t="s">
        <v>357</v>
      </c>
      <c r="AO56" s="106">
        <f>IFERROR(VLOOKUP(AN56,'[20]Seguridad Información'!$C$61:$D$63,2,0),"")</f>
        <v>20</v>
      </c>
      <c r="AP56" s="465" t="s">
        <v>350</v>
      </c>
      <c r="AQ56" s="106">
        <f>IFERROR(VLOOKUP(AP56,'[20]Seguridad Información'!$E$61:$F$64,2,0),"")</f>
        <v>100</v>
      </c>
      <c r="AR56" s="465" t="s">
        <v>355</v>
      </c>
      <c r="AS56" s="106">
        <f>IFERROR(VLOOKUP(AR56,'[20]Seguridad Información'!$G$61:$H$64,2,0),"")</f>
        <v>60</v>
      </c>
      <c r="AT56" s="465" t="s">
        <v>352</v>
      </c>
      <c r="AU56" s="444">
        <f>IFERROR(VLOOKUP(AT56,'[20]Seguridad Información'!$I$61:$J$65,2,0),"")</f>
        <v>100</v>
      </c>
      <c r="AV56" s="444"/>
      <c r="AW56" s="475">
        <f t="shared" ref="AW56:AW58" si="77">IFERROR(AVERAGE(AO56,AQ56,AS56,AU56),"")</f>
        <v>70</v>
      </c>
      <c r="AX56" s="463" t="str">
        <f t="shared" ref="AX56:AX58" si="78">IF(AW56&lt;=80,"Débil",IF(AW56&lt;=90,"Moderado",IF(AW56=100,"Fuerte","")))</f>
        <v>Débil</v>
      </c>
      <c r="AY56" s="475" t="str">
        <f>IFERROR(VLOOKUP((CONCATENATE(AM56,AX56)),[20]Listados!$U$3:$V$11,2,FALSE),"")</f>
        <v>Débil</v>
      </c>
      <c r="AZ56" s="463">
        <f>IF(ISBLANK(AY56),"",IF(AY56="Débil", 0, IF(AY56="Moderado",50,100)))</f>
        <v>0</v>
      </c>
      <c r="BA56" s="476"/>
      <c r="BB56" s="476"/>
      <c r="BC56" s="477">
        <f>+IF(AND(W56="Preventivo",BB55="Fuerte"),2,IF(AND(W56="Preventivo",BB55="Moderado"),1,0))</f>
        <v>0</v>
      </c>
      <c r="BD56" s="477">
        <f>+IF(AND(W56="Detectivo/Correctivo",$BB55="Fuerte"),2,IF(AND(W56="Detectivo/Correctivo",$BB56="Moderado"),1,IF(AND(W56="Preventivo",$BB55="Fuerte"),1,0)))</f>
        <v>0</v>
      </c>
      <c r="BE56" s="477">
        <f>+N55-BC56</f>
        <v>2</v>
      </c>
      <c r="BF56" s="477">
        <f>+P55-BD56</f>
        <v>2</v>
      </c>
      <c r="BG56" s="459"/>
      <c r="BH56" s="459"/>
      <c r="BI56" s="459"/>
      <c r="BJ56" s="469"/>
      <c r="BK56" s="469"/>
      <c r="BL56" s="469"/>
      <c r="BM56" s="300"/>
    </row>
    <row r="57" spans="1:65" ht="114.75">
      <c r="A57" s="320">
        <v>2</v>
      </c>
      <c r="B57" s="478" t="s">
        <v>104</v>
      </c>
      <c r="C57" s="470" t="str">
        <f>IFERROR(VLOOKUP(B57,[20]Listados!B$3:C$20,2,FALSE),"")</f>
        <v xml:space="preserve"> Liderar y ejecutar las actividades propias de la administración y gestión del talento humano, aplicando la normativa vigente y los procedimientos establecidos en la entidad para contribuir a la consecución de los objtivos institucionales.</v>
      </c>
      <c r="D57" s="357" t="s">
        <v>539</v>
      </c>
      <c r="E57" s="40" t="s">
        <v>182</v>
      </c>
      <c r="F57" s="452" t="s">
        <v>182</v>
      </c>
      <c r="G57" s="358" t="s">
        <v>199</v>
      </c>
      <c r="H57" s="471" t="s">
        <v>188</v>
      </c>
      <c r="I57" s="22" t="s">
        <v>203</v>
      </c>
      <c r="J57" s="471" t="s">
        <v>211</v>
      </c>
      <c r="K57" s="472" t="s">
        <v>17</v>
      </c>
      <c r="L57" s="23" t="s">
        <v>214</v>
      </c>
      <c r="M57" s="455" t="s">
        <v>32</v>
      </c>
      <c r="N57" s="456">
        <f>+VLOOKUP(M57,[20]Listados!$K$8:$L$12,2,0)</f>
        <v>2</v>
      </c>
      <c r="O57" s="457" t="s">
        <v>33</v>
      </c>
      <c r="P57" s="456">
        <f>+VLOOKUP(O57,[20]Listados!$K$13:$L$17,2,0)</f>
        <v>2</v>
      </c>
      <c r="Q57" s="459" t="str">
        <f>IF(AND(M57&lt;&gt;"",O57&lt;&gt;""),VLOOKUP(M57&amp;O57,[20]Listados!$M$3:$N$27,2,FALSE),"")</f>
        <v>Bajo</v>
      </c>
      <c r="R57" s="459" t="str">
        <f>+VLOOKUP(Q57,[20]Listados!$P$3:$Q$6,2,FALSE)</f>
        <v>Asumir el riesgo</v>
      </c>
      <c r="S57" s="460" t="s">
        <v>220</v>
      </c>
      <c r="T57" s="460" t="s">
        <v>248</v>
      </c>
      <c r="U57" s="260" t="s">
        <v>540</v>
      </c>
      <c r="V57" s="461" t="s">
        <v>211</v>
      </c>
      <c r="W57" s="479" t="s">
        <v>21</v>
      </c>
      <c r="X57" s="460" t="s">
        <v>119</v>
      </c>
      <c r="Y57" s="460">
        <f t="shared" si="3"/>
        <v>15</v>
      </c>
      <c r="Z57" s="480" t="s">
        <v>119</v>
      </c>
      <c r="AA57" s="460">
        <f t="shared" si="4"/>
        <v>15</v>
      </c>
      <c r="AB57" s="460" t="s">
        <v>123</v>
      </c>
      <c r="AC57" s="460" t="str">
        <f t="shared" si="5"/>
        <v/>
      </c>
      <c r="AD57" s="460" t="s">
        <v>119</v>
      </c>
      <c r="AE57" s="460">
        <f t="shared" si="6"/>
        <v>15</v>
      </c>
      <c r="AF57" s="460" t="s">
        <v>119</v>
      </c>
      <c r="AG57" s="460">
        <f t="shared" si="7"/>
        <v>15</v>
      </c>
      <c r="AH57" s="460" t="s">
        <v>119</v>
      </c>
      <c r="AI57" s="460">
        <f t="shared" si="8"/>
        <v>15</v>
      </c>
      <c r="AJ57" s="460" t="s">
        <v>120</v>
      </c>
      <c r="AK57" s="462">
        <f t="shared" si="76"/>
        <v>10</v>
      </c>
      <c r="AL57" s="463">
        <f t="shared" ref="AL57:AL58" si="79">IF((SUM(Y57,AA57,AC57,AE57,AG57,AI57,AK57)=0),"",(SUM(Y57,AA57,AC57,AE57,AG57,AI57,AK57)))</f>
        <v>85</v>
      </c>
      <c r="AM57" s="463" t="str">
        <f t="shared" ref="AM57:AM58" si="80">IF(AL57&lt;=85,"Débil",IF(AL57&lt;=95,"Moderado",IF(AL57=100,"Fuerte","")))</f>
        <v>Débil</v>
      </c>
      <c r="AN57" s="465" t="s">
        <v>357</v>
      </c>
      <c r="AO57" s="106">
        <f>IFERROR(VLOOKUP(AN57,'[20]Seguridad Información'!$C$61:$D$63,2,0),"")</f>
        <v>20</v>
      </c>
      <c r="AP57" s="465" t="s">
        <v>350</v>
      </c>
      <c r="AQ57" s="106">
        <f>IFERROR(VLOOKUP(AP57,'[20]Seguridad Información'!$E$61:$F$64,2,0),"")</f>
        <v>100</v>
      </c>
      <c r="AR57" s="465" t="s">
        <v>355</v>
      </c>
      <c r="AS57" s="106">
        <f>IFERROR(VLOOKUP(AR57,'[20]Seguridad Información'!$G$61:$H$64,2,0),"")</f>
        <v>60</v>
      </c>
      <c r="AT57" s="465" t="s">
        <v>352</v>
      </c>
      <c r="AU57" s="444">
        <f>IFERROR(VLOOKUP(AT57,'[20]Seguridad Información'!$I$61:$J$65,2,0),"")</f>
        <v>100</v>
      </c>
      <c r="AV57" s="444"/>
      <c r="AW57" s="475">
        <f t="shared" si="77"/>
        <v>70</v>
      </c>
      <c r="AX57" s="463" t="str">
        <f t="shared" si="78"/>
        <v>Débil</v>
      </c>
      <c r="AY57" s="475" t="str">
        <f>IFERROR(VLOOKUP((CONCATENATE(AM57,AX57)),[20]Listados!$U$3:$V$11,2,FALSE),"")</f>
        <v>Débil</v>
      </c>
      <c r="AZ57" s="463">
        <f t="shared" ref="AZ57:AZ58" si="81">IF(ISBLANK(AY57),"",IF(AY57="Débil", 0, IF(AY57="Moderado",50,100)))</f>
        <v>0</v>
      </c>
      <c r="BA57" s="476">
        <f>AVERAGE(AZ57:AZ58)</f>
        <v>0</v>
      </c>
      <c r="BB57" s="476" t="str">
        <f>IF(BA57&lt;=50, "Débil", IF(BA57&lt;=99,"Moderado","Fuerte"))</f>
        <v>Débil</v>
      </c>
      <c r="BC57" s="477">
        <f>+IF(AND(W57="Preventivo",BB57="Fuerte"),2,IF(AND(W57="Preventivo",BB57="Moderado"),1,0))</f>
        <v>0</v>
      </c>
      <c r="BD57" s="477">
        <f>+IF(AND(W57="Detectivo/Correctivo",$BB57="Fuerte"),2,IF(AND(W57="Detectivo/Correctivo",$BB57="Moderado"),1,IF(AND(W57="Preventivo",$BB57="Fuerte"),1,0)))</f>
        <v>0</v>
      </c>
      <c r="BE57" s="477">
        <f>+N57-BC57</f>
        <v>2</v>
      </c>
      <c r="BF57" s="477">
        <f>+P57-BD57</f>
        <v>2</v>
      </c>
      <c r="BG57" s="459" t="str">
        <f>+VLOOKUP(MIN(BE57,BE58),[20]Listados!$J$18:$K$24,2,TRUE)</f>
        <v>Improbable</v>
      </c>
      <c r="BH57" s="459" t="str">
        <f>+VLOOKUP(MIN(BF57,BF58),[20]Listados!$J$26:$K$32,2,TRUE)</f>
        <v>Menor</v>
      </c>
      <c r="BI57" s="459" t="str">
        <f>IF(AND(BG57&lt;&gt;"",BH57&lt;&gt;""),VLOOKUP(BG57&amp;BH57,[20]Listados!$M$3:$N$27,2,FALSE),"")</f>
        <v>Bajo</v>
      </c>
      <c r="BJ57" s="469" t="str">
        <f>+IF($R57="Asumir el riesgo","NA","")</f>
        <v>NA</v>
      </c>
      <c r="BK57" s="469" t="str">
        <f>+IF($R57="Asumir el riesgo","NA","")</f>
        <v>NA</v>
      </c>
      <c r="BL57" s="469" t="str">
        <f>+IF($R57="Asumir el riesgo","NA","")</f>
        <v>NA</v>
      </c>
      <c r="BM57" s="300" t="str">
        <f>+IF($R57="Asumir el riesgo","NA","")</f>
        <v>NA</v>
      </c>
    </row>
    <row r="58" spans="1:65" ht="64.5" thickBot="1">
      <c r="A58" s="369"/>
      <c r="B58" s="409"/>
      <c r="C58" s="371"/>
      <c r="D58" s="372"/>
      <c r="E58" s="201" t="s">
        <v>182</v>
      </c>
      <c r="F58" s="373"/>
      <c r="G58" s="373"/>
      <c r="H58" s="202" t="s">
        <v>191</v>
      </c>
      <c r="I58" s="203" t="s">
        <v>201</v>
      </c>
      <c r="J58" s="202" t="s">
        <v>204</v>
      </c>
      <c r="K58" s="204" t="s">
        <v>17</v>
      </c>
      <c r="L58" s="205" t="s">
        <v>214</v>
      </c>
      <c r="M58" s="370"/>
      <c r="N58" s="366"/>
      <c r="O58" s="375"/>
      <c r="P58" s="366"/>
      <c r="Q58" s="322"/>
      <c r="R58" s="322"/>
      <c r="S58" s="206" t="s">
        <v>220</v>
      </c>
      <c r="T58" s="206" t="s">
        <v>273</v>
      </c>
      <c r="U58" s="207" t="s">
        <v>459</v>
      </c>
      <c r="V58" s="207" t="s">
        <v>204</v>
      </c>
      <c r="W58" s="263" t="s">
        <v>21</v>
      </c>
      <c r="X58" s="206" t="s">
        <v>119</v>
      </c>
      <c r="Y58" s="206">
        <f t="shared" si="3"/>
        <v>15</v>
      </c>
      <c r="Z58" s="262" t="s">
        <v>119</v>
      </c>
      <c r="AA58" s="206">
        <f t="shared" si="4"/>
        <v>15</v>
      </c>
      <c r="AB58" s="206" t="s">
        <v>123</v>
      </c>
      <c r="AC58" s="206" t="str">
        <f t="shared" si="5"/>
        <v/>
      </c>
      <c r="AD58" s="206" t="s">
        <v>119</v>
      </c>
      <c r="AE58" s="206">
        <f t="shared" si="6"/>
        <v>15</v>
      </c>
      <c r="AF58" s="206" t="s">
        <v>119</v>
      </c>
      <c r="AG58" s="206">
        <f t="shared" si="7"/>
        <v>15</v>
      </c>
      <c r="AH58" s="206" t="s">
        <v>119</v>
      </c>
      <c r="AI58" s="206">
        <f t="shared" si="8"/>
        <v>15</v>
      </c>
      <c r="AJ58" s="206" t="s">
        <v>120</v>
      </c>
      <c r="AK58" s="209">
        <f t="shared" si="76"/>
        <v>10</v>
      </c>
      <c r="AL58" s="210">
        <f t="shared" si="79"/>
        <v>85</v>
      </c>
      <c r="AM58" s="210" t="str">
        <f t="shared" si="80"/>
        <v>Débil</v>
      </c>
      <c r="AN58" s="211" t="s">
        <v>357</v>
      </c>
      <c r="AO58" s="264">
        <f>IFERROR(VLOOKUP(AN58,'[20]Seguridad Información'!$C$61:$D$63,2,0),"")</f>
        <v>20</v>
      </c>
      <c r="AP58" s="211" t="s">
        <v>350</v>
      </c>
      <c r="AQ58" s="264">
        <f>IFERROR(VLOOKUP(AP58,'[20]Seguridad Información'!$E$61:$F$64,2,0),"")</f>
        <v>100</v>
      </c>
      <c r="AR58" s="211" t="s">
        <v>351</v>
      </c>
      <c r="AS58" s="264">
        <f>IFERROR(VLOOKUP(AR58,'[20]Seguridad Información'!$G$61:$H$64,2,0),"")</f>
        <v>100</v>
      </c>
      <c r="AT58" s="211" t="s">
        <v>352</v>
      </c>
      <c r="AU58" s="213">
        <f>IFERROR(VLOOKUP(AT58,'[20]Seguridad Información'!$I$61:$J$65,2,0),"")</f>
        <v>100</v>
      </c>
      <c r="AV58" s="213"/>
      <c r="AW58" s="214">
        <f t="shared" si="77"/>
        <v>80</v>
      </c>
      <c r="AX58" s="210" t="str">
        <f t="shared" si="78"/>
        <v>Débil</v>
      </c>
      <c r="AY58" s="214" t="str">
        <f>IFERROR(VLOOKUP((CONCATENATE(AM58,AX58)),[20]Listados!$U$3:$V$11,2,FALSE),"")</f>
        <v>Débil</v>
      </c>
      <c r="AZ58" s="210">
        <f t="shared" si="81"/>
        <v>0</v>
      </c>
      <c r="BA58" s="368"/>
      <c r="BB58" s="368"/>
      <c r="BC58" s="215">
        <f>+IF(AND(W58="Preventivo",BB57="Fuerte"),2,IF(AND(W58="Preventivo",BB57="Moderado"),1,0))</f>
        <v>0</v>
      </c>
      <c r="BD58" s="215">
        <f>+IF(AND(W58="Detectivo/Correctivo",$BB57="Fuerte"),2,IF(AND(W58="Detectivo/Correctivo",$BB58="Moderado"),1,IF(AND(W58="Preventivo",$BB57="Fuerte"),1,0)))</f>
        <v>0</v>
      </c>
      <c r="BE58" s="215">
        <f>+N57-BC58</f>
        <v>2</v>
      </c>
      <c r="BF58" s="215">
        <f>+P57-BD58</f>
        <v>2</v>
      </c>
      <c r="BG58" s="322"/>
      <c r="BH58" s="322"/>
      <c r="BI58" s="322"/>
      <c r="BJ58" s="299"/>
      <c r="BK58" s="299"/>
      <c r="BL58" s="299"/>
      <c r="BM58" s="301"/>
    </row>
    <row r="59" spans="1:65" ht="114.75">
      <c r="A59" s="319">
        <v>1</v>
      </c>
      <c r="B59" s="313" t="s">
        <v>86</v>
      </c>
      <c r="C59" s="307" t="str">
        <f>IFERROR(VLOOKUP(B59,[21]Listados!B$3:C$20,2,FALSE),"")</f>
        <v xml:space="preserve"> Fijar los lineamientos, parámetros y actividades requeridas para garantizar la gestión de los servicios administrativos, logísticos y la administración de los bienes necesario para la operación del Ministerio de Justicia y del Derecho.</v>
      </c>
      <c r="D59" s="309" t="s">
        <v>471</v>
      </c>
      <c r="E59" s="107" t="s">
        <v>181</v>
      </c>
      <c r="F59" s="311" t="s">
        <v>181</v>
      </c>
      <c r="G59" s="311" t="s">
        <v>198</v>
      </c>
      <c r="H59" s="108" t="s">
        <v>184</v>
      </c>
      <c r="I59" s="108" t="s">
        <v>202</v>
      </c>
      <c r="J59" s="108" t="s">
        <v>474</v>
      </c>
      <c r="K59" s="109" t="s">
        <v>17</v>
      </c>
      <c r="L59" s="109" t="s">
        <v>215</v>
      </c>
      <c r="M59" s="313" t="s">
        <v>22</v>
      </c>
      <c r="N59" s="315">
        <f>+VLOOKUP(M59,[21]Listados!$K$8:$L$12,2,0)</f>
        <v>1</v>
      </c>
      <c r="O59" s="317" t="s">
        <v>33</v>
      </c>
      <c r="P59" s="315">
        <f>+VLOOKUP(O59,[21]Listados!$K$13:$L$17,2,0)</f>
        <v>2</v>
      </c>
      <c r="Q59" s="297" t="str">
        <f>IF(AND(M59&lt;&gt;"",O59&lt;&gt;""),VLOOKUP(M59&amp;O59,[21]Listados!$M$3:$N$27,2,FALSE),"")</f>
        <v>Bajo</v>
      </c>
      <c r="R59" s="297" t="str">
        <f>+VLOOKUP(Q59,[21]Listados!$P$3:$Q$6,2,FALSE)</f>
        <v>Asumir el riesgo</v>
      </c>
      <c r="S59" s="110" t="s">
        <v>224</v>
      </c>
      <c r="T59" s="110" t="s">
        <v>276</v>
      </c>
      <c r="U59" s="111" t="s">
        <v>472</v>
      </c>
      <c r="V59" s="111" t="s">
        <v>474</v>
      </c>
      <c r="W59" s="112" t="s">
        <v>21</v>
      </c>
      <c r="X59" s="110" t="s">
        <v>119</v>
      </c>
      <c r="Y59" s="110">
        <f t="shared" si="3"/>
        <v>15</v>
      </c>
      <c r="Z59" s="110" t="s">
        <v>119</v>
      </c>
      <c r="AA59" s="110">
        <f t="shared" si="4"/>
        <v>15</v>
      </c>
      <c r="AB59" s="110" t="s">
        <v>119</v>
      </c>
      <c r="AC59" s="110">
        <f t="shared" si="5"/>
        <v>15</v>
      </c>
      <c r="AD59" s="110" t="s">
        <v>119</v>
      </c>
      <c r="AE59" s="110">
        <f t="shared" si="6"/>
        <v>15</v>
      </c>
      <c r="AF59" s="110" t="s">
        <v>119</v>
      </c>
      <c r="AG59" s="110">
        <f t="shared" si="7"/>
        <v>15</v>
      </c>
      <c r="AH59" s="110" t="s">
        <v>119</v>
      </c>
      <c r="AI59" s="110">
        <f t="shared" si="8"/>
        <v>15</v>
      </c>
      <c r="AJ59" s="110" t="s">
        <v>120</v>
      </c>
      <c r="AK59" s="113">
        <f>+IF(AJ59="Completa",10,IF(AJ59="Incompleta",5,""))</f>
        <v>10</v>
      </c>
      <c r="AL59" s="114">
        <f>IF((SUM(Y59,AA59,AC59,AE59,AG59,AI59,AK59)=0),"",(SUM(Y59,AA59,AC59,AE59,AG59,AI59,AK59)))</f>
        <v>100</v>
      </c>
      <c r="AM59" s="114" t="str">
        <f>IF(AL59&lt;=85,"Débil",IF(AL59&lt;=95,"Moderado",IF(AL59=100,"Fuerte","")))</f>
        <v>Fuerte</v>
      </c>
      <c r="AN59" s="191" t="s">
        <v>353</v>
      </c>
      <c r="AO59" s="116">
        <f>IFERROR(VLOOKUP(AN59,'[21]Seguridad Información'!$C$61:$D$63,2,0),"")</f>
        <v>60</v>
      </c>
      <c r="AP59" s="140" t="s">
        <v>350</v>
      </c>
      <c r="AQ59" s="116">
        <f>IFERROR(VLOOKUP(AP59,'[21]Seguridad Información'!$E$61:$F$64,2,0),"")</f>
        <v>100</v>
      </c>
      <c r="AR59" s="219" t="s">
        <v>355</v>
      </c>
      <c r="AS59" s="116">
        <f>IFERROR(VLOOKUP(AR59,'[21]Seguridad Información'!$G$61:$H$64,2,0),"")</f>
        <v>60</v>
      </c>
      <c r="AT59" s="140" t="s">
        <v>352</v>
      </c>
      <c r="AU59" s="117">
        <f>IFERROR(VLOOKUP(AT59,'[21]Seguridad Información'!$I$61:$J$65,2,0),"")</f>
        <v>100</v>
      </c>
      <c r="AV59" s="117"/>
      <c r="AW59" s="118">
        <f>IFERROR(AVERAGE(AO59,AQ59,AS59,AU59),"")</f>
        <v>80</v>
      </c>
      <c r="AX59" s="114" t="str">
        <f>IF(AW59&lt;=80,"Débil",IF(AW59&lt;=90,"Moderado",IF(AW59=100,"Fuerte","")))</f>
        <v>Débil</v>
      </c>
      <c r="AY59" s="118" t="str">
        <f>IFERROR(VLOOKUP((CONCATENATE(AM59,AX59)),[21]Listados!$U$3:$V$11,2,FALSE),"")</f>
        <v>Débil</v>
      </c>
      <c r="AZ59" s="114">
        <f>IF(ISBLANK(AY59),"",IF(AY59="Débil", 0, IF(AY59="Moderado",50,100)))</f>
        <v>0</v>
      </c>
      <c r="BA59" s="323">
        <f>AVERAGE(AZ59:AZ60)</f>
        <v>0</v>
      </c>
      <c r="BB59" s="323" t="str">
        <f>IF(BA59&lt;=50, "Débil", IF(BA59&lt;=99,"Moderado","Fuerte"))</f>
        <v>Débil</v>
      </c>
      <c r="BC59" s="119">
        <f>+IF(AND(W59="Preventivo",BB59="Fuerte"),2,IF(AND(W59="Preventivo",BB59="Moderado"),1,0))</f>
        <v>0</v>
      </c>
      <c r="BD59" s="119">
        <f>+IF(AND(W59="Detectivo/Correctivo",$BB59="Fuerte"),2,IF(AND(W59="Detectivo/Correctivo",$BB59="Moderado"),1,IF(AND(W59="Preventivo",$BB59="Fuerte"),1,0)))</f>
        <v>0</v>
      </c>
      <c r="BE59" s="119">
        <f>+N59-BC59</f>
        <v>1</v>
      </c>
      <c r="BF59" s="119">
        <f>+P59-BD59</f>
        <v>2</v>
      </c>
      <c r="BG59" s="297" t="str">
        <f>+VLOOKUP(MIN(BE59,BE60),[21]Listados!$J$18:$K$24,2,TRUE)</f>
        <v>Rara Vez</v>
      </c>
      <c r="BH59" s="297" t="str">
        <f>+VLOOKUP(MIN(BF59,BF60),[21]Listados!$J$26:$K$32,2,TRUE)</f>
        <v>Menor</v>
      </c>
      <c r="BI59" s="297" t="str">
        <f>IF(AND(BG59&lt;&gt;"",BH59&lt;&gt;""),VLOOKUP(BG59&amp;BH59,[21]Listados!$M$3:$N$27,2,FALSE),"")</f>
        <v>Bajo</v>
      </c>
      <c r="BJ59" s="298"/>
      <c r="BK59" s="304"/>
      <c r="BL59" s="298"/>
      <c r="BM59" s="305"/>
    </row>
    <row r="60" spans="1:65" ht="115.5" thickBot="1">
      <c r="A60" s="355"/>
      <c r="B60" s="314"/>
      <c r="C60" s="308"/>
      <c r="D60" s="310"/>
      <c r="E60" s="120" t="s">
        <v>180</v>
      </c>
      <c r="F60" s="312"/>
      <c r="G60" s="312"/>
      <c r="H60" s="121" t="s">
        <v>186</v>
      </c>
      <c r="I60" s="122" t="s">
        <v>201</v>
      </c>
      <c r="J60" s="121" t="s">
        <v>204</v>
      </c>
      <c r="K60" s="123" t="s">
        <v>17</v>
      </c>
      <c r="L60" s="124" t="s">
        <v>215</v>
      </c>
      <c r="M60" s="314"/>
      <c r="N60" s="316"/>
      <c r="O60" s="318"/>
      <c r="P60" s="316"/>
      <c r="Q60" s="302"/>
      <c r="R60" s="302"/>
      <c r="S60" s="125" t="s">
        <v>224</v>
      </c>
      <c r="T60" s="125" t="s">
        <v>252</v>
      </c>
      <c r="U60" s="126" t="s">
        <v>508</v>
      </c>
      <c r="V60" s="126" t="s">
        <v>210</v>
      </c>
      <c r="W60" s="127" t="s">
        <v>21</v>
      </c>
      <c r="X60" s="125" t="s">
        <v>119</v>
      </c>
      <c r="Y60" s="125">
        <f t="shared" si="3"/>
        <v>15</v>
      </c>
      <c r="Z60" s="125" t="s">
        <v>119</v>
      </c>
      <c r="AA60" s="125">
        <f t="shared" si="4"/>
        <v>15</v>
      </c>
      <c r="AB60" s="125" t="s">
        <v>119</v>
      </c>
      <c r="AC60" s="125">
        <f t="shared" si="5"/>
        <v>15</v>
      </c>
      <c r="AD60" s="125" t="s">
        <v>119</v>
      </c>
      <c r="AE60" s="125">
        <f t="shared" si="6"/>
        <v>15</v>
      </c>
      <c r="AF60" s="125" t="s">
        <v>119</v>
      </c>
      <c r="AG60" s="125">
        <f t="shared" si="7"/>
        <v>15</v>
      </c>
      <c r="AH60" s="125" t="s">
        <v>119</v>
      </c>
      <c r="AI60" s="125">
        <f t="shared" si="8"/>
        <v>15</v>
      </c>
      <c r="AJ60" s="125" t="s">
        <v>120</v>
      </c>
      <c r="AK60" s="128">
        <f t="shared" ref="AK60" si="82">+IF(AJ60="Completa",10,IF(AJ60="Incompleta",5,""))</f>
        <v>10</v>
      </c>
      <c r="AL60" s="129">
        <f>IF((SUM(Y60,AA60,AC60,AE60,AG60,AI60,AK60)=0),"",(SUM(Y60,AA60,AC60,AE60,AG60,AI60,AK60)))</f>
        <v>100</v>
      </c>
      <c r="AM60" s="129" t="str">
        <f>IF(AL60&lt;=85,"Débil",IF(AL60&lt;=95,"Moderado",IF(AL60=100,"Fuerte","")))</f>
        <v>Fuerte</v>
      </c>
      <c r="AN60" s="193" t="s">
        <v>357</v>
      </c>
      <c r="AO60" s="131">
        <f>IFERROR(VLOOKUP(AN60,'[21]Seguridad Información'!$C$61:$D$63,2,0),"")</f>
        <v>20</v>
      </c>
      <c r="AP60" s="148" t="s">
        <v>350</v>
      </c>
      <c r="AQ60" s="131">
        <f>IFERROR(VLOOKUP(AP60,'[21]Seguridad Información'!$E$61:$F$64,2,0),"")</f>
        <v>100</v>
      </c>
      <c r="AR60" s="221" t="s">
        <v>355</v>
      </c>
      <c r="AS60" s="131">
        <f>IFERROR(VLOOKUP(AR60,'[21]Seguridad Información'!$G$61:$H$64,2,0),"")</f>
        <v>60</v>
      </c>
      <c r="AT60" s="148" t="s">
        <v>352</v>
      </c>
      <c r="AU60" s="133">
        <f>IFERROR(VLOOKUP(AT60,'[21]Seguridad Información'!$I$61:$J$65,2,0),"")</f>
        <v>100</v>
      </c>
      <c r="AV60" s="133"/>
      <c r="AW60" s="134">
        <f t="shared" ref="AW60" si="83">IFERROR(AVERAGE(AO60,AQ60,AS60,AU60),"")</f>
        <v>70</v>
      </c>
      <c r="AX60" s="129" t="str">
        <f t="shared" ref="AX60" si="84">IF(AW60&lt;=80,"Débil",IF(AW60&lt;=90,"Moderado",IF(AW60=100,"Fuerte","")))</f>
        <v>Débil</v>
      </c>
      <c r="AY60" s="134" t="str">
        <f>IFERROR(VLOOKUP((CONCATENATE(AM60,AX60)),[21]Listados!$U$3:$V$11,2,FALSE),"")</f>
        <v>Débil</v>
      </c>
      <c r="AZ60" s="129">
        <f>IF(ISBLANK(AY60),"",IF(AY60="Débil", 0, IF(AY60="Moderado",50,100)))</f>
        <v>0</v>
      </c>
      <c r="BA60" s="324"/>
      <c r="BB60" s="324"/>
      <c r="BC60" s="135">
        <f>+IF(AND(W60="Preventivo",BB59="Fuerte"),2,IF(AND(W60="Preventivo",BB59="Moderado"),1,0))</f>
        <v>0</v>
      </c>
      <c r="BD60" s="135">
        <f>+IF(AND(W60="Detectivo/Correctivo",$BB59="Fuerte"),2,IF(AND(W60="Detectivo/Correctivo",$BB60="Moderado"),1,IF(AND(W60="Preventivo",$BB59="Fuerte"),1,0)))</f>
        <v>0</v>
      </c>
      <c r="BE60" s="135">
        <f>+N59-BC60</f>
        <v>1</v>
      </c>
      <c r="BF60" s="135">
        <f>+P59-BD60</f>
        <v>2</v>
      </c>
      <c r="BG60" s="302"/>
      <c r="BH60" s="302"/>
      <c r="BI60" s="302"/>
      <c r="BJ60" s="303"/>
      <c r="BK60" s="303"/>
      <c r="BL60" s="303"/>
      <c r="BM60" s="306"/>
    </row>
    <row r="61" spans="1:65" ht="114.75">
      <c r="A61" s="319">
        <v>1</v>
      </c>
      <c r="B61" s="313" t="s">
        <v>28</v>
      </c>
      <c r="C61" s="307" t="str">
        <f>IFERROR(VLOOKUP(B61,[22]Listados!B$3:C$20,2,FALSE),"")</f>
        <v>Proveer información oportuna, confiable, veraz y accesible a clientes internos y externos del Ministerio de Justicia y del Derecho.</v>
      </c>
      <c r="D61" s="309" t="s">
        <v>541</v>
      </c>
      <c r="E61" s="107" t="s">
        <v>181</v>
      </c>
      <c r="F61" s="311" t="s">
        <v>181</v>
      </c>
      <c r="G61" s="311" t="s">
        <v>198</v>
      </c>
      <c r="H61" s="108" t="s">
        <v>184</v>
      </c>
      <c r="I61" s="108" t="s">
        <v>202</v>
      </c>
      <c r="J61" s="108" t="s">
        <v>474</v>
      </c>
      <c r="K61" s="109" t="s">
        <v>17</v>
      </c>
      <c r="L61" s="109" t="s">
        <v>215</v>
      </c>
      <c r="M61" s="313" t="s">
        <v>22</v>
      </c>
      <c r="N61" s="315">
        <f>+VLOOKUP(M61,[22]Listados!$K$8:$L$12,2,0)</f>
        <v>1</v>
      </c>
      <c r="O61" s="317" t="s">
        <v>33</v>
      </c>
      <c r="P61" s="315">
        <f>+VLOOKUP(O61,[22]Listados!$K$13:$L$17,2,0)</f>
        <v>2</v>
      </c>
      <c r="Q61" s="297" t="str">
        <f>IF(AND(M61&lt;&gt;"",O61&lt;&gt;""),VLOOKUP(M61&amp;O61,[22]Listados!$M$3:$N$27,2,FALSE),"")</f>
        <v>Bajo</v>
      </c>
      <c r="R61" s="297" t="str">
        <f>+VLOOKUP(Q61,[22]Listados!$P$3:$Q$6,2,FALSE)</f>
        <v>Asumir el riesgo</v>
      </c>
      <c r="S61" s="110" t="s">
        <v>224</v>
      </c>
      <c r="T61" s="110" t="s">
        <v>276</v>
      </c>
      <c r="U61" s="111" t="s">
        <v>470</v>
      </c>
      <c r="V61" s="111" t="s">
        <v>474</v>
      </c>
      <c r="W61" s="112" t="s">
        <v>21</v>
      </c>
      <c r="X61" s="110" t="s">
        <v>119</v>
      </c>
      <c r="Y61" s="110">
        <f t="shared" si="3"/>
        <v>15</v>
      </c>
      <c r="Z61" s="110" t="s">
        <v>119</v>
      </c>
      <c r="AA61" s="110">
        <f t="shared" si="4"/>
        <v>15</v>
      </c>
      <c r="AB61" s="110" t="s">
        <v>119</v>
      </c>
      <c r="AC61" s="110">
        <f t="shared" si="5"/>
        <v>15</v>
      </c>
      <c r="AD61" s="110" t="s">
        <v>119</v>
      </c>
      <c r="AE61" s="110">
        <f t="shared" si="6"/>
        <v>15</v>
      </c>
      <c r="AF61" s="110" t="s">
        <v>119</v>
      </c>
      <c r="AG61" s="110">
        <f t="shared" si="7"/>
        <v>15</v>
      </c>
      <c r="AH61" s="110" t="s">
        <v>119</v>
      </c>
      <c r="AI61" s="110">
        <f t="shared" si="8"/>
        <v>15</v>
      </c>
      <c r="AJ61" s="110" t="s">
        <v>120</v>
      </c>
      <c r="AK61" s="113">
        <f>+IF(AJ61="Completa",10,IF(AJ61="Incompleta",5,""))</f>
        <v>10</v>
      </c>
      <c r="AL61" s="114">
        <f>IF((SUM(Y61,AA61,AC61,AE61,AG61,AI61,AK61)=0),"",(SUM(Y61,AA61,AC61,AE61,AG61,AI61,AK61)))</f>
        <v>100</v>
      </c>
      <c r="AM61" s="114" t="str">
        <f>IF(AL61&lt;=85,"Débil",IF(AL61&lt;=95,"Moderado",IF(AL61=100,"Fuerte","")))</f>
        <v>Fuerte</v>
      </c>
      <c r="AN61" s="140" t="s">
        <v>353</v>
      </c>
      <c r="AO61" s="140">
        <f>IFERROR(VLOOKUP(AN61,'[22]Seguridad Información'!$C$61:$D$63,2,0),"")</f>
        <v>60</v>
      </c>
      <c r="AP61" s="140" t="s">
        <v>350</v>
      </c>
      <c r="AQ61" s="140">
        <f>IFERROR(VLOOKUP(AP61,'[22]Seguridad Información'!$E$61:$F$64,2,0),"")</f>
        <v>100</v>
      </c>
      <c r="AR61" s="140" t="s">
        <v>355</v>
      </c>
      <c r="AS61" s="140">
        <f>IFERROR(VLOOKUP(AR61,'[22]Seguridad Información'!$G$61:$H$64,2,0),"")</f>
        <v>60</v>
      </c>
      <c r="AT61" s="140" t="s">
        <v>352</v>
      </c>
      <c r="AU61" s="117">
        <f>IFERROR(VLOOKUP(AT61,'[22]Seguridad Información'!$I$61:$J$65,2,0),"")</f>
        <v>100</v>
      </c>
      <c r="AV61" s="117"/>
      <c r="AW61" s="118">
        <f>IFERROR(AVERAGE(AO61,AQ61,AS61,AU61),"")</f>
        <v>80</v>
      </c>
      <c r="AX61" s="114" t="str">
        <f>IF(AW61&lt;=80,"Débil",IF(AW61&lt;=90,"Moderado",IF(AW61=100,"Fuerte","")))</f>
        <v>Débil</v>
      </c>
      <c r="AY61" s="118" t="str">
        <f>IFERROR(VLOOKUP((CONCATENATE(AM61,AX61)),[22]Listados!$U$3:$V$11,2,FALSE),"")</f>
        <v>Débil</v>
      </c>
      <c r="AZ61" s="114">
        <f>IF(ISBLANK(AY61),"",IF(AY61="Débil", 0, IF(AY61="Moderado",50,100)))</f>
        <v>0</v>
      </c>
      <c r="BA61" s="323">
        <f>AVERAGE(AZ61:AZ62)</f>
        <v>0</v>
      </c>
      <c r="BB61" s="323" t="str">
        <f>IF(BA61&lt;=50, "Débil", IF(BA61&lt;=99,"Moderado","Fuerte"))</f>
        <v>Débil</v>
      </c>
      <c r="BC61" s="119">
        <f>+IF(AND(W61="Preventivo",BB61="Fuerte"),2,IF(AND(W61="Preventivo",BB61="Moderado"),1,0))</f>
        <v>0</v>
      </c>
      <c r="BD61" s="119">
        <f>+IF(AND(W61="Detectivo/Correctivo",$BB61="Fuerte"),2,IF(AND(W61="Detectivo/Correctivo",$BB61="Moderado"),1,IF(AND(W61="Preventivo",$BB61="Fuerte"),1,0)))</f>
        <v>0</v>
      </c>
      <c r="BE61" s="119">
        <f>+N61-BC61</f>
        <v>1</v>
      </c>
      <c r="BF61" s="119">
        <f>+P61-BD61</f>
        <v>2</v>
      </c>
      <c r="BG61" s="297" t="str">
        <f>+VLOOKUP(MIN(BE61,BE62),[22]Listados!$J$18:$K$24,2,TRUE)</f>
        <v>Rara Vez</v>
      </c>
      <c r="BH61" s="297" t="str">
        <f>+VLOOKUP(MIN(BF61,BF62),[22]Listados!$J$26:$K$32,2,TRUE)</f>
        <v>Menor</v>
      </c>
      <c r="BI61" s="297" t="str">
        <f>IF(AND(BG61&lt;&gt;"",BH61&lt;&gt;""),VLOOKUP(BG61&amp;BH61,[22]Listados!$M$3:$N$27,2,FALSE),"")</f>
        <v>Bajo</v>
      </c>
      <c r="BJ61" s="298" t="str">
        <f>+IF($R61="Asumir el riesgo","NA","")</f>
        <v>NA</v>
      </c>
      <c r="BK61" s="298" t="str">
        <f>+IF($R61="Asumir el riesgo","NA","")</f>
        <v>NA</v>
      </c>
      <c r="BL61" s="298" t="str">
        <f>+IF($R61="Asumir el riesgo","NA","")</f>
        <v>NA</v>
      </c>
      <c r="BM61" s="305" t="str">
        <f>+IF($R61="Asumir el riesgo","NA","")</f>
        <v>NA</v>
      </c>
    </row>
    <row r="62" spans="1:65" ht="102">
      <c r="A62" s="320"/>
      <c r="B62" s="455"/>
      <c r="C62" s="470"/>
      <c r="D62" s="321"/>
      <c r="E62" s="40" t="s">
        <v>180</v>
      </c>
      <c r="F62" s="452"/>
      <c r="G62" s="452"/>
      <c r="H62" s="471" t="s">
        <v>183</v>
      </c>
      <c r="I62" s="22" t="s">
        <v>201</v>
      </c>
      <c r="J62" s="471" t="s">
        <v>204</v>
      </c>
      <c r="K62" s="472" t="s">
        <v>17</v>
      </c>
      <c r="L62" s="23" t="s">
        <v>214</v>
      </c>
      <c r="M62" s="455"/>
      <c r="N62" s="456"/>
      <c r="O62" s="457"/>
      <c r="P62" s="456"/>
      <c r="Q62" s="459"/>
      <c r="R62" s="459"/>
      <c r="S62" s="460" t="s">
        <v>221</v>
      </c>
      <c r="T62" s="460" t="s">
        <v>297</v>
      </c>
      <c r="U62" s="461" t="s">
        <v>542</v>
      </c>
      <c r="V62" s="461" t="s">
        <v>211</v>
      </c>
      <c r="W62" s="473" t="s">
        <v>21</v>
      </c>
      <c r="X62" s="460" t="s">
        <v>119</v>
      </c>
      <c r="Y62" s="460">
        <f t="shared" si="3"/>
        <v>15</v>
      </c>
      <c r="Z62" s="460" t="s">
        <v>119</v>
      </c>
      <c r="AA62" s="460">
        <f t="shared" si="4"/>
        <v>15</v>
      </c>
      <c r="AB62" s="460" t="s">
        <v>119</v>
      </c>
      <c r="AC62" s="460">
        <f t="shared" si="5"/>
        <v>15</v>
      </c>
      <c r="AD62" s="460" t="s">
        <v>119</v>
      </c>
      <c r="AE62" s="460">
        <f t="shared" si="6"/>
        <v>15</v>
      </c>
      <c r="AF62" s="460" t="s">
        <v>119</v>
      </c>
      <c r="AG62" s="460">
        <f t="shared" si="7"/>
        <v>15</v>
      </c>
      <c r="AH62" s="460" t="s">
        <v>119</v>
      </c>
      <c r="AI62" s="460">
        <f t="shared" si="8"/>
        <v>15</v>
      </c>
      <c r="AJ62" s="460" t="s">
        <v>120</v>
      </c>
      <c r="AK62" s="462">
        <f t="shared" ref="AK62:AK64" si="85">+IF(AJ62="Completa",10,IF(AJ62="Incompleta",5,""))</f>
        <v>10</v>
      </c>
      <c r="AL62" s="463">
        <f>IF((SUM(Y62,AA62,AC62,AE62,AG62,AI62,AK62)=0),"",(SUM(Y62,AA62,AC62,AE62,AG62,AI62,AK62)))</f>
        <v>100</v>
      </c>
      <c r="AM62" s="463" t="str">
        <f>IF(AL62&lt;=85,"Débil",IF(AL62&lt;=95,"Moderado",IF(AL62=100,"Fuerte","")))</f>
        <v>Fuerte</v>
      </c>
      <c r="AN62" s="465" t="s">
        <v>357</v>
      </c>
      <c r="AO62" s="106">
        <f>IFERROR(VLOOKUP(AN62,'[22]Seguridad Información'!$C$61:$D$63,2,0),"")</f>
        <v>20</v>
      </c>
      <c r="AP62" s="465" t="s">
        <v>350</v>
      </c>
      <c r="AQ62" s="106">
        <f>IFERROR(VLOOKUP(AP62,'[22]Seguridad Información'!$E$61:$F$64,2,0),"")</f>
        <v>100</v>
      </c>
      <c r="AR62" s="465" t="s">
        <v>351</v>
      </c>
      <c r="AS62" s="106">
        <f>IFERROR(VLOOKUP(AR62,'[22]Seguridad Información'!$G$61:$H$64,2,0),"")</f>
        <v>100</v>
      </c>
      <c r="AT62" s="465" t="s">
        <v>352</v>
      </c>
      <c r="AU62" s="444">
        <f>IFERROR(VLOOKUP(AT62,'[22]Seguridad Información'!$I$61:$J$65,2,0),"")</f>
        <v>100</v>
      </c>
      <c r="AV62" s="444"/>
      <c r="AW62" s="475">
        <f t="shared" ref="AW62:AW64" si="86">IFERROR(AVERAGE(AO62,AQ62,AS62,AU62),"")</f>
        <v>80</v>
      </c>
      <c r="AX62" s="463" t="str">
        <f t="shared" ref="AX62:AX64" si="87">IF(AW62&lt;=80,"Débil",IF(AW62&lt;=90,"Moderado",IF(AW62=100,"Fuerte","")))</f>
        <v>Débil</v>
      </c>
      <c r="AY62" s="475" t="str">
        <f>IFERROR(VLOOKUP((CONCATENATE(AM62,AX62)),[22]Listados!$U$3:$V$11,2,FALSE),"")</f>
        <v>Débil</v>
      </c>
      <c r="AZ62" s="463">
        <f>IF(ISBLANK(AY62),"",IF(AY62="Débil", 0, IF(AY62="Moderado",50,100)))</f>
        <v>0</v>
      </c>
      <c r="BA62" s="476"/>
      <c r="BB62" s="476"/>
      <c r="BC62" s="477">
        <f>+IF(AND(W62="Preventivo",BB61="Fuerte"),2,IF(AND(W62="Preventivo",BB61="Moderado"),1,0))</f>
        <v>0</v>
      </c>
      <c r="BD62" s="477">
        <f>+IF(AND(W62="Detectivo/Correctivo",$BB61="Fuerte"),2,IF(AND(W62="Detectivo/Correctivo",$BB62="Moderado"),1,IF(AND(W62="Preventivo",$BB61="Fuerte"),1,0)))</f>
        <v>0</v>
      </c>
      <c r="BE62" s="477">
        <f>+N61-BC62</f>
        <v>1</v>
      </c>
      <c r="BF62" s="477">
        <f>+P61-BD62</f>
        <v>2</v>
      </c>
      <c r="BG62" s="459"/>
      <c r="BH62" s="459"/>
      <c r="BI62" s="459"/>
      <c r="BJ62" s="469"/>
      <c r="BK62" s="469"/>
      <c r="BL62" s="469"/>
      <c r="BM62" s="300"/>
    </row>
    <row r="63" spans="1:65" ht="114.75">
      <c r="A63" s="320">
        <v>2</v>
      </c>
      <c r="B63" s="330" t="s">
        <v>28</v>
      </c>
      <c r="C63" s="470" t="str">
        <f>IFERROR(VLOOKUP(B63,[22]Listados!B$3:C$20,2,FALSE),"")</f>
        <v>Proveer información oportuna, confiable, veraz y accesible a clientes internos y externos del Ministerio de Justicia y del Derecho.</v>
      </c>
      <c r="D63" s="357" t="s">
        <v>543</v>
      </c>
      <c r="E63" s="40" t="s">
        <v>182</v>
      </c>
      <c r="F63" s="452" t="s">
        <v>182</v>
      </c>
      <c r="G63" s="358" t="s">
        <v>199</v>
      </c>
      <c r="H63" s="471" t="s">
        <v>188</v>
      </c>
      <c r="I63" s="22" t="s">
        <v>203</v>
      </c>
      <c r="J63" s="471" t="s">
        <v>211</v>
      </c>
      <c r="K63" s="472" t="s">
        <v>17</v>
      </c>
      <c r="L63" s="23" t="s">
        <v>215</v>
      </c>
      <c r="M63" s="455" t="s">
        <v>32</v>
      </c>
      <c r="N63" s="456">
        <f>+VLOOKUP(M63,[22]Listados!$K$8:$L$12,2,0)</f>
        <v>2</v>
      </c>
      <c r="O63" s="457" t="s">
        <v>33</v>
      </c>
      <c r="P63" s="456">
        <f>+VLOOKUP(O63,[22]Listados!$K$13:$L$17,2,0)</f>
        <v>2</v>
      </c>
      <c r="Q63" s="459" t="str">
        <f>IF(AND(M63&lt;&gt;"",O63&lt;&gt;""),VLOOKUP(M63&amp;O63,[22]Listados!$M$3:$N$27,2,FALSE),"")</f>
        <v>Bajo</v>
      </c>
      <c r="R63" s="459" t="str">
        <f>+VLOOKUP(Q63,[22]Listados!$P$3:$Q$6,2,FALSE)</f>
        <v>Asumir el riesgo</v>
      </c>
      <c r="S63" s="460" t="s">
        <v>220</v>
      </c>
      <c r="T63" s="460" t="s">
        <v>248</v>
      </c>
      <c r="U63" s="48" t="s">
        <v>458</v>
      </c>
      <c r="V63" s="461" t="s">
        <v>211</v>
      </c>
      <c r="W63" s="479" t="s">
        <v>21</v>
      </c>
      <c r="X63" s="460" t="s">
        <v>119</v>
      </c>
      <c r="Y63" s="460">
        <f t="shared" si="3"/>
        <v>15</v>
      </c>
      <c r="Z63" s="480" t="s">
        <v>119</v>
      </c>
      <c r="AA63" s="460">
        <f t="shared" si="4"/>
        <v>15</v>
      </c>
      <c r="AB63" s="460" t="s">
        <v>119</v>
      </c>
      <c r="AC63" s="460">
        <f t="shared" si="5"/>
        <v>15</v>
      </c>
      <c r="AD63" s="460" t="s">
        <v>119</v>
      </c>
      <c r="AE63" s="460">
        <f t="shared" si="6"/>
        <v>15</v>
      </c>
      <c r="AF63" s="460" t="s">
        <v>119</v>
      </c>
      <c r="AG63" s="460">
        <f t="shared" si="7"/>
        <v>15</v>
      </c>
      <c r="AH63" s="460" t="s">
        <v>119</v>
      </c>
      <c r="AI63" s="460">
        <f t="shared" si="8"/>
        <v>15</v>
      </c>
      <c r="AJ63" s="460" t="s">
        <v>120</v>
      </c>
      <c r="AK63" s="462">
        <f t="shared" si="85"/>
        <v>10</v>
      </c>
      <c r="AL63" s="463">
        <f t="shared" ref="AL63:AL64" si="88">IF((SUM(Y63,AA63,AC63,AE63,AG63,AI63,AK63)=0),"",(SUM(Y63,AA63,AC63,AE63,AG63,AI63,AK63)))</f>
        <v>100</v>
      </c>
      <c r="AM63" s="463" t="str">
        <f t="shared" ref="AM63:AM64" si="89">IF(AL63&lt;=85,"Débil",IF(AL63&lt;=95,"Moderado",IF(AL63=100,"Fuerte","")))</f>
        <v>Fuerte</v>
      </c>
      <c r="AN63" s="465" t="s">
        <v>357</v>
      </c>
      <c r="AO63" s="106">
        <f>IFERROR(VLOOKUP(AN63,'[22]Seguridad Información'!$C$61:$D$63,2,0),"")</f>
        <v>20</v>
      </c>
      <c r="AP63" s="465" t="s">
        <v>350</v>
      </c>
      <c r="AQ63" s="106">
        <f>IFERROR(VLOOKUP(AP63,'[22]Seguridad Información'!$E$61:$F$64,2,0),"")</f>
        <v>100</v>
      </c>
      <c r="AR63" s="465" t="s">
        <v>355</v>
      </c>
      <c r="AS63" s="106">
        <f>IFERROR(VLOOKUP(AR63,'[22]Seguridad Información'!$G$61:$H$64,2,0),"")</f>
        <v>60</v>
      </c>
      <c r="AT63" s="465" t="s">
        <v>352</v>
      </c>
      <c r="AU63" s="444">
        <f>IFERROR(VLOOKUP(AT63,'[22]Seguridad Información'!$I$61:$J$65,2,0),"")</f>
        <v>100</v>
      </c>
      <c r="AV63" s="444"/>
      <c r="AW63" s="475">
        <f t="shared" si="86"/>
        <v>70</v>
      </c>
      <c r="AX63" s="463" t="str">
        <f t="shared" si="87"/>
        <v>Débil</v>
      </c>
      <c r="AY63" s="475" t="str">
        <f>IFERROR(VLOOKUP((CONCATENATE(AM63,AX63)),[22]Listados!$U$3:$V$11,2,FALSE),"")</f>
        <v>Débil</v>
      </c>
      <c r="AZ63" s="463">
        <f t="shared" ref="AZ63:AZ64" si="90">IF(ISBLANK(AY63),"",IF(AY63="Débil", 0, IF(AY63="Moderado",50,100)))</f>
        <v>0</v>
      </c>
      <c r="BA63" s="476">
        <f>AVERAGE(AZ63:AZ64)</f>
        <v>0</v>
      </c>
      <c r="BB63" s="476" t="str">
        <f>IF(BA63&lt;=50, "Débil", IF(BA63&lt;=99,"Moderado","Fuerte"))</f>
        <v>Débil</v>
      </c>
      <c r="BC63" s="477">
        <f>+IF(AND(W63="Preventivo",BB63="Fuerte"),2,IF(AND(W63="Preventivo",BB63="Moderado"),1,0))</f>
        <v>0</v>
      </c>
      <c r="BD63" s="477">
        <f>+IF(AND(W63="Detectivo/Correctivo",$BB63="Fuerte"),2,IF(AND(W63="Detectivo/Correctivo",$BB63="Moderado"),1,IF(AND(W63="Preventivo",$BB63="Fuerte"),1,0)))</f>
        <v>0</v>
      </c>
      <c r="BE63" s="477">
        <f>+N63-BC63</f>
        <v>2</v>
      </c>
      <c r="BF63" s="477">
        <f>+P63-BD63</f>
        <v>2</v>
      </c>
      <c r="BG63" s="459" t="str">
        <f>+VLOOKUP(MIN(BE63,BE64),[22]Listados!$J$18:$K$24,2,TRUE)</f>
        <v>Improbable</v>
      </c>
      <c r="BH63" s="459" t="str">
        <f>+VLOOKUP(MIN(BF63,BF64),[22]Listados!$J$26:$K$32,2,TRUE)</f>
        <v>Menor</v>
      </c>
      <c r="BI63" s="459" t="str">
        <f>IF(AND(BG63&lt;&gt;"",BH63&lt;&gt;""),VLOOKUP(BG63&amp;BH63,[22]Listados!$M$3:$N$27,2,FALSE),"")</f>
        <v>Bajo</v>
      </c>
      <c r="BJ63" s="469" t="str">
        <f>+IF($R63="Asumir el riesgo","NA","")</f>
        <v>NA</v>
      </c>
      <c r="BK63" s="469" t="str">
        <f>+IF($R63="Asumir el riesgo","NA","")</f>
        <v>NA</v>
      </c>
      <c r="BL63" s="469" t="str">
        <f>+IF($R63="Asumir el riesgo","NA","")</f>
        <v>NA</v>
      </c>
      <c r="BM63" s="300" t="str">
        <f>+IF($R63="Asumir el riesgo","NA","")</f>
        <v>NA</v>
      </c>
    </row>
    <row r="64" spans="1:65" ht="115.5" thickBot="1">
      <c r="A64" s="355"/>
      <c r="B64" s="314"/>
      <c r="C64" s="308"/>
      <c r="D64" s="310"/>
      <c r="E64" s="120" t="s">
        <v>182</v>
      </c>
      <c r="F64" s="312"/>
      <c r="G64" s="312"/>
      <c r="H64" s="121" t="s">
        <v>185</v>
      </c>
      <c r="I64" s="122" t="s">
        <v>203</v>
      </c>
      <c r="J64" s="121" t="s">
        <v>211</v>
      </c>
      <c r="K64" s="123" t="s">
        <v>17</v>
      </c>
      <c r="L64" s="124" t="s">
        <v>215</v>
      </c>
      <c r="M64" s="314"/>
      <c r="N64" s="316"/>
      <c r="O64" s="318"/>
      <c r="P64" s="316"/>
      <c r="Q64" s="302"/>
      <c r="R64" s="302"/>
      <c r="S64" s="125" t="s">
        <v>220</v>
      </c>
      <c r="T64" s="125" t="s">
        <v>296</v>
      </c>
      <c r="U64" s="126" t="s">
        <v>544</v>
      </c>
      <c r="V64" s="126" t="s">
        <v>211</v>
      </c>
      <c r="W64" s="183" t="s">
        <v>21</v>
      </c>
      <c r="X64" s="125" t="s">
        <v>119</v>
      </c>
      <c r="Y64" s="125">
        <f t="shared" si="3"/>
        <v>15</v>
      </c>
      <c r="Z64" s="184" t="s">
        <v>119</v>
      </c>
      <c r="AA64" s="125">
        <f t="shared" si="4"/>
        <v>15</v>
      </c>
      <c r="AB64" s="125" t="s">
        <v>119</v>
      </c>
      <c r="AC64" s="125">
        <f t="shared" si="5"/>
        <v>15</v>
      </c>
      <c r="AD64" s="125" t="s">
        <v>119</v>
      </c>
      <c r="AE64" s="125">
        <f t="shared" si="6"/>
        <v>15</v>
      </c>
      <c r="AF64" s="125" t="s">
        <v>119</v>
      </c>
      <c r="AG64" s="125">
        <f t="shared" si="7"/>
        <v>15</v>
      </c>
      <c r="AH64" s="125" t="s">
        <v>119</v>
      </c>
      <c r="AI64" s="125">
        <f t="shared" si="8"/>
        <v>15</v>
      </c>
      <c r="AJ64" s="125" t="s">
        <v>120</v>
      </c>
      <c r="AK64" s="128">
        <f t="shared" si="85"/>
        <v>10</v>
      </c>
      <c r="AL64" s="129">
        <f t="shared" si="88"/>
        <v>100</v>
      </c>
      <c r="AM64" s="129" t="str">
        <f t="shared" si="89"/>
        <v>Fuerte</v>
      </c>
      <c r="AN64" s="148" t="s">
        <v>357</v>
      </c>
      <c r="AO64" s="185">
        <f>IFERROR(VLOOKUP(AN64,'[22]Seguridad Información'!$C$61:$D$63,2,0),"")</f>
        <v>20</v>
      </c>
      <c r="AP64" s="148" t="s">
        <v>350</v>
      </c>
      <c r="AQ64" s="185">
        <f>IFERROR(VLOOKUP(AP64,'[22]Seguridad Información'!$E$61:$F$64,2,0),"")</f>
        <v>100</v>
      </c>
      <c r="AR64" s="148" t="s">
        <v>355</v>
      </c>
      <c r="AS64" s="185">
        <f>IFERROR(VLOOKUP(AR64,'[22]Seguridad Información'!$G$61:$H$64,2,0),"")</f>
        <v>60</v>
      </c>
      <c r="AT64" s="148" t="s">
        <v>352</v>
      </c>
      <c r="AU64" s="133">
        <f>IFERROR(VLOOKUP(AT64,'[22]Seguridad Información'!$I$61:$J$65,2,0),"")</f>
        <v>100</v>
      </c>
      <c r="AV64" s="133"/>
      <c r="AW64" s="134">
        <f t="shared" si="86"/>
        <v>70</v>
      </c>
      <c r="AX64" s="129" t="str">
        <f t="shared" si="87"/>
        <v>Débil</v>
      </c>
      <c r="AY64" s="134" t="str">
        <f>IFERROR(VLOOKUP((CONCATENATE(AM64,AX64)),[22]Listados!$U$3:$V$11,2,FALSE),"")</f>
        <v>Débil</v>
      </c>
      <c r="AZ64" s="129">
        <f t="shared" si="90"/>
        <v>0</v>
      </c>
      <c r="BA64" s="324"/>
      <c r="BB64" s="324"/>
      <c r="BC64" s="135">
        <f>+IF(AND(W64="Preventivo",BB63="Fuerte"),2,IF(AND(W64="Preventivo",BB63="Moderado"),1,0))</f>
        <v>0</v>
      </c>
      <c r="BD64" s="135">
        <f>+IF(AND(W64="Detectivo/Correctivo",$BB63="Fuerte"),2,IF(AND(W64="Detectivo/Correctivo",$BB64="Moderado"),1,IF(AND(W64="Preventivo",$BB63="Fuerte"),1,0)))</f>
        <v>0</v>
      </c>
      <c r="BE64" s="135">
        <f>+N63-BC64</f>
        <v>2</v>
      </c>
      <c r="BF64" s="135">
        <f>+P63-BD64</f>
        <v>2</v>
      </c>
      <c r="BG64" s="302"/>
      <c r="BH64" s="302"/>
      <c r="BI64" s="302"/>
      <c r="BJ64" s="303"/>
      <c r="BK64" s="303"/>
      <c r="BL64" s="303"/>
      <c r="BM64" s="306"/>
    </row>
    <row r="65" spans="1:65" ht="114.75">
      <c r="A65" s="319">
        <v>1</v>
      </c>
      <c r="B65" s="313" t="s">
        <v>28</v>
      </c>
      <c r="C65" s="307" t="str">
        <f>IFERROR(VLOOKUP(B65,[23]Listados!B$3:C$20,2,FALSE),"")</f>
        <v>Proveer información oportuna, confiable, veraz y accesible a clientes internos y externos del Ministerio de Justicia y del Derecho.</v>
      </c>
      <c r="D65" s="309" t="s">
        <v>545</v>
      </c>
      <c r="E65" s="107" t="s">
        <v>181</v>
      </c>
      <c r="F65" s="311" t="s">
        <v>181</v>
      </c>
      <c r="G65" s="311" t="s">
        <v>198</v>
      </c>
      <c r="H65" s="108" t="s">
        <v>184</v>
      </c>
      <c r="I65" s="108" t="s">
        <v>202</v>
      </c>
      <c r="J65" s="108" t="s">
        <v>474</v>
      </c>
      <c r="K65" s="109" t="s">
        <v>17</v>
      </c>
      <c r="L65" s="109" t="s">
        <v>214</v>
      </c>
      <c r="M65" s="313" t="s">
        <v>22</v>
      </c>
      <c r="N65" s="315">
        <f>+VLOOKUP(M65,[23]Listados!$K$8:$L$12,2,0)</f>
        <v>1</v>
      </c>
      <c r="O65" s="317" t="s">
        <v>33</v>
      </c>
      <c r="P65" s="315">
        <f>+VLOOKUP(O65,[23]Listados!$K$13:$L$17,2,0)</f>
        <v>2</v>
      </c>
      <c r="Q65" s="297" t="str">
        <f>IF(AND(M65&lt;&gt;"",O65&lt;&gt;""),VLOOKUP(M65&amp;O65,[23]Listados!$M$3:$N$27,2,FALSE),"")</f>
        <v>Bajo</v>
      </c>
      <c r="R65" s="297" t="str">
        <f>+VLOOKUP(Q65,[23]Listados!$P$3:$Q$6,2,FALSE)</f>
        <v>Asumir el riesgo</v>
      </c>
      <c r="S65" s="110" t="s">
        <v>224</v>
      </c>
      <c r="T65" s="110" t="s">
        <v>276</v>
      </c>
      <c r="U65" s="218" t="s">
        <v>546</v>
      </c>
      <c r="V65" s="111" t="s">
        <v>474</v>
      </c>
      <c r="W65" s="112" t="s">
        <v>21</v>
      </c>
      <c r="X65" s="110" t="s">
        <v>119</v>
      </c>
      <c r="Y65" s="110">
        <f t="shared" si="3"/>
        <v>15</v>
      </c>
      <c r="Z65" s="110" t="s">
        <v>119</v>
      </c>
      <c r="AA65" s="110">
        <f t="shared" si="4"/>
        <v>15</v>
      </c>
      <c r="AB65" s="110" t="s">
        <v>119</v>
      </c>
      <c r="AC65" s="110">
        <f t="shared" si="5"/>
        <v>15</v>
      </c>
      <c r="AD65" s="110" t="s">
        <v>119</v>
      </c>
      <c r="AE65" s="110">
        <f t="shared" si="6"/>
        <v>15</v>
      </c>
      <c r="AF65" s="110" t="s">
        <v>119</v>
      </c>
      <c r="AG65" s="110">
        <f t="shared" si="7"/>
        <v>15</v>
      </c>
      <c r="AH65" s="110" t="s">
        <v>119</v>
      </c>
      <c r="AI65" s="110">
        <f t="shared" si="8"/>
        <v>15</v>
      </c>
      <c r="AJ65" s="110" t="s">
        <v>120</v>
      </c>
      <c r="AK65" s="113">
        <f>+IF(AJ65="Completa",10,IF(AJ65="Incompleta",5,""))</f>
        <v>10</v>
      </c>
      <c r="AL65" s="114">
        <f>IF((SUM(Y65,AA65,AC65,AE65,AG65,AI65,AK65)=0),"",(SUM(Y65,AA65,AC65,AE65,AG65,AI65,AK65)))</f>
        <v>100</v>
      </c>
      <c r="AM65" s="114" t="str">
        <f>IF(AL65&lt;=85,"Débil",IF(AL65&lt;=95,"Moderado",IF(AL65=100,"Fuerte","")))</f>
        <v>Fuerte</v>
      </c>
      <c r="AN65" s="140" t="s">
        <v>353</v>
      </c>
      <c r="AO65" s="140">
        <f>IFERROR(VLOOKUP(AN65,'[23]Seguridad Información'!$C$61:$D$63,2,0),"")</f>
        <v>60</v>
      </c>
      <c r="AP65" s="140" t="s">
        <v>350</v>
      </c>
      <c r="AQ65" s="140">
        <f>IFERROR(VLOOKUP(AP65,'[23]Seguridad Información'!$E$61:$F$64,2,0),"")</f>
        <v>100</v>
      </c>
      <c r="AR65" s="140" t="s">
        <v>355</v>
      </c>
      <c r="AS65" s="140">
        <f>IFERROR(VLOOKUP(AR65,'[23]Seguridad Información'!$G$61:$H$64,2,0),"")</f>
        <v>60</v>
      </c>
      <c r="AT65" s="140" t="s">
        <v>352</v>
      </c>
      <c r="AU65" s="117">
        <f>IFERROR(VLOOKUP(AT65,'[23]Seguridad Información'!$I$61:$J$65,2,0),"")</f>
        <v>100</v>
      </c>
      <c r="AV65" s="117"/>
      <c r="AW65" s="118">
        <f>IFERROR(AVERAGE(AO65,AQ65,AS65,AU65),"")</f>
        <v>80</v>
      </c>
      <c r="AX65" s="114" t="str">
        <f>IF(AW65&lt;=80,"Débil",IF(AW65&lt;=90,"Moderado",IF(AW65=100,"Fuerte","")))</f>
        <v>Débil</v>
      </c>
      <c r="AY65" s="118" t="str">
        <f>IFERROR(VLOOKUP((CONCATENATE(AM65,AX65)),[23]Listados!$U$3:$V$11,2,FALSE),"")</f>
        <v>Débil</v>
      </c>
      <c r="AZ65" s="114">
        <f>IF(ISBLANK(AY65),"",IF(AY65="Débil", 0, IF(AY65="Moderado",50,100)))</f>
        <v>0</v>
      </c>
      <c r="BA65" s="323">
        <f>AVERAGE(AZ65:AZ66)</f>
        <v>0</v>
      </c>
      <c r="BB65" s="323" t="str">
        <f>IF(BA65&lt;=50, "Débil", IF(BA65&lt;=99,"Moderado","Fuerte"))</f>
        <v>Débil</v>
      </c>
      <c r="BC65" s="119">
        <f>+IF(AND(W65="Preventivo",BB65="Fuerte"),2,IF(AND(W65="Preventivo",BB65="Moderado"),1,0))</f>
        <v>0</v>
      </c>
      <c r="BD65" s="119">
        <f>+IF(AND(W65="Detectivo/Correctivo",$BB65="Fuerte"),2,IF(AND(W65="Detectivo/Correctivo",$BB65="Moderado"),1,IF(AND(W65="Preventivo",$BB65="Fuerte"),1,0)))</f>
        <v>0</v>
      </c>
      <c r="BE65" s="119">
        <f>+N65-BC65</f>
        <v>1</v>
      </c>
      <c r="BF65" s="119">
        <f>+P65-BD65</f>
        <v>2</v>
      </c>
      <c r="BG65" s="297" t="str">
        <f>+VLOOKUP(MIN(BE65,BE66),[23]Listados!$J$18:$K$24,2,TRUE)</f>
        <v>Rara Vez</v>
      </c>
      <c r="BH65" s="297" t="str">
        <f>+VLOOKUP(MIN(BF65,BF66),[23]Listados!$J$26:$K$32,2,TRUE)</f>
        <v>Menor</v>
      </c>
      <c r="BI65" s="297" t="str">
        <f>IF(AND(BG65&lt;&gt;"",BH65&lt;&gt;""),VLOOKUP(BG65&amp;BH65,[23]Listados!$M$3:$N$27,2,FALSE),"")</f>
        <v>Bajo</v>
      </c>
      <c r="BJ65" s="298" t="s">
        <v>547</v>
      </c>
      <c r="BK65" s="298" t="str">
        <f>+IF($R65="Asumir el riesgo","NA","")</f>
        <v>NA</v>
      </c>
      <c r="BL65" s="298" t="str">
        <f>+IF($R65="Asumir el riesgo","NA","")</f>
        <v>NA</v>
      </c>
      <c r="BM65" s="305" t="str">
        <f>+IF($R65="Asumir el riesgo","NA","")</f>
        <v>NA</v>
      </c>
    </row>
    <row r="66" spans="1:65" ht="102.75" thickBot="1">
      <c r="A66" s="355"/>
      <c r="B66" s="314"/>
      <c r="C66" s="308"/>
      <c r="D66" s="310"/>
      <c r="E66" s="120" t="s">
        <v>180</v>
      </c>
      <c r="F66" s="312"/>
      <c r="G66" s="312"/>
      <c r="H66" s="121" t="s">
        <v>186</v>
      </c>
      <c r="I66" s="122" t="s">
        <v>201</v>
      </c>
      <c r="J66" s="121" t="s">
        <v>204</v>
      </c>
      <c r="K66" s="123" t="s">
        <v>17</v>
      </c>
      <c r="L66" s="124" t="s">
        <v>214</v>
      </c>
      <c r="M66" s="314"/>
      <c r="N66" s="316"/>
      <c r="O66" s="318"/>
      <c r="P66" s="316"/>
      <c r="Q66" s="302"/>
      <c r="R66" s="302"/>
      <c r="S66" s="125" t="s">
        <v>221</v>
      </c>
      <c r="T66" s="125" t="s">
        <v>297</v>
      </c>
      <c r="U66" s="220" t="s">
        <v>548</v>
      </c>
      <c r="V66" s="126" t="s">
        <v>204</v>
      </c>
      <c r="W66" s="127" t="s">
        <v>21</v>
      </c>
      <c r="X66" s="125" t="s">
        <v>119</v>
      </c>
      <c r="Y66" s="125">
        <f t="shared" si="3"/>
        <v>15</v>
      </c>
      <c r="Z66" s="125" t="s">
        <v>119</v>
      </c>
      <c r="AA66" s="125">
        <f t="shared" si="4"/>
        <v>15</v>
      </c>
      <c r="AB66" s="125" t="s">
        <v>119</v>
      </c>
      <c r="AC66" s="125">
        <f t="shared" si="5"/>
        <v>15</v>
      </c>
      <c r="AD66" s="125" t="s">
        <v>119</v>
      </c>
      <c r="AE66" s="125">
        <f t="shared" si="6"/>
        <v>15</v>
      </c>
      <c r="AF66" s="125" t="s">
        <v>119</v>
      </c>
      <c r="AG66" s="125">
        <f t="shared" si="7"/>
        <v>15</v>
      </c>
      <c r="AH66" s="125" t="s">
        <v>119</v>
      </c>
      <c r="AI66" s="125">
        <f t="shared" si="8"/>
        <v>15</v>
      </c>
      <c r="AJ66" s="125" t="s">
        <v>120</v>
      </c>
      <c r="AK66" s="128">
        <f t="shared" ref="AK66" si="91">+IF(AJ66="Completa",10,IF(AJ66="Incompleta",5,""))</f>
        <v>10</v>
      </c>
      <c r="AL66" s="129">
        <f>IF((SUM(Y66,AA66,AC66,AE66,AG66,AI66,AK66)=0),"",(SUM(Y66,AA66,AC66,AE66,AG66,AI66,AK66)))</f>
        <v>100</v>
      </c>
      <c r="AM66" s="129" t="str">
        <f>IF(AL66&lt;=85,"Débil",IF(AL66&lt;=95,"Moderado",IF(AL66=100,"Fuerte","")))</f>
        <v>Fuerte</v>
      </c>
      <c r="AN66" s="148" t="s">
        <v>357</v>
      </c>
      <c r="AO66" s="185">
        <f>IFERROR(VLOOKUP(AN66,'[23]Seguridad Información'!$C$61:$D$63,2,0),"")</f>
        <v>20</v>
      </c>
      <c r="AP66" s="148" t="s">
        <v>350</v>
      </c>
      <c r="AQ66" s="185">
        <f>IFERROR(VLOOKUP(AP66,'[23]Seguridad Información'!$E$61:$F$64,2,0),"")</f>
        <v>100</v>
      </c>
      <c r="AR66" s="148" t="s">
        <v>351</v>
      </c>
      <c r="AS66" s="185">
        <f>IFERROR(VLOOKUP(AR66,'[23]Seguridad Información'!$G$61:$H$64,2,0),"")</f>
        <v>100</v>
      </c>
      <c r="AT66" s="148" t="s">
        <v>352</v>
      </c>
      <c r="AU66" s="133">
        <f>IFERROR(VLOOKUP(AT66,'[23]Seguridad Información'!$I$61:$J$65,2,0),"")</f>
        <v>100</v>
      </c>
      <c r="AV66" s="133"/>
      <c r="AW66" s="134">
        <f t="shared" ref="AW66" si="92">IFERROR(AVERAGE(AO66,AQ66,AS66,AU66),"")</f>
        <v>80</v>
      </c>
      <c r="AX66" s="129" t="str">
        <f t="shared" ref="AX66" si="93">IF(AW66&lt;=80,"Débil",IF(AW66&lt;=90,"Moderado",IF(AW66=100,"Fuerte","")))</f>
        <v>Débil</v>
      </c>
      <c r="AY66" s="134" t="str">
        <f>IFERROR(VLOOKUP((CONCATENATE(AM66,AX66)),[23]Listados!$U$3:$V$11,2,FALSE),"")</f>
        <v>Débil</v>
      </c>
      <c r="AZ66" s="129">
        <f>IF(ISBLANK(AY66),"",IF(AY66="Débil", 0, IF(AY66="Moderado",50,100)))</f>
        <v>0</v>
      </c>
      <c r="BA66" s="324"/>
      <c r="BB66" s="324"/>
      <c r="BC66" s="135">
        <f>+IF(AND(W66="Preventivo",BB65="Fuerte"),2,IF(AND(W66="Preventivo",BB65="Moderado"),1,0))</f>
        <v>0</v>
      </c>
      <c r="BD66" s="135">
        <f>+IF(AND(W66="Detectivo/Correctivo",$BB65="Fuerte"),2,IF(AND(W66="Detectivo/Correctivo",$BB66="Moderado"),1,IF(AND(W66="Preventivo",$BB65="Fuerte"),1,0)))</f>
        <v>0</v>
      </c>
      <c r="BE66" s="135">
        <f>+N65-BC66</f>
        <v>1</v>
      </c>
      <c r="BF66" s="135">
        <f>+P65-BD66</f>
        <v>2</v>
      </c>
      <c r="BG66" s="302"/>
      <c r="BH66" s="302"/>
      <c r="BI66" s="302"/>
      <c r="BJ66" s="303"/>
      <c r="BK66" s="303"/>
      <c r="BL66" s="303"/>
      <c r="BM66" s="306"/>
    </row>
    <row r="67" spans="1:65" ht="318.75">
      <c r="A67" s="319">
        <v>1</v>
      </c>
      <c r="B67" s="313" t="s">
        <v>92</v>
      </c>
      <c r="C67" s="410" t="str">
        <f>IFERROR(VLOOKUP(B67,[24]Listados!B$3:C$20,2,FALSE),"")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67" s="309" t="s">
        <v>549</v>
      </c>
      <c r="E67" s="107" t="s">
        <v>181</v>
      </c>
      <c r="F67" s="311" t="s">
        <v>181</v>
      </c>
      <c r="G67" s="311" t="s">
        <v>198</v>
      </c>
      <c r="H67" s="108" t="s">
        <v>184</v>
      </c>
      <c r="I67" s="108" t="s">
        <v>202</v>
      </c>
      <c r="J67" s="108" t="s">
        <v>474</v>
      </c>
      <c r="K67" s="109" t="s">
        <v>17</v>
      </c>
      <c r="L67" s="109" t="s">
        <v>215</v>
      </c>
      <c r="M67" s="313" t="s">
        <v>22</v>
      </c>
      <c r="N67" s="315">
        <f>+VLOOKUP(M67,[24]Listados!$K$8:$L$12,2,0)</f>
        <v>1</v>
      </c>
      <c r="O67" s="317" t="s">
        <v>37</v>
      </c>
      <c r="P67" s="315">
        <f>+VLOOKUP(O67,[24]Listados!$K$13:$L$17,2,0)</f>
        <v>3</v>
      </c>
      <c r="Q67" s="297" t="str">
        <f>IF(AND(M67&lt;&gt;"",O67&lt;&gt;""),VLOOKUP(M67&amp;O67,[24]Listados!$M$3:$N$27,2,FALSE),"")</f>
        <v>Moderado</v>
      </c>
      <c r="R67" s="297" t="str">
        <f>+VLOOKUP(Q67,[24]Listados!$P$3:$Q$6,2,FALSE)</f>
        <v xml:space="preserve"> Reducir el riesgo</v>
      </c>
      <c r="S67" s="110" t="s">
        <v>224</v>
      </c>
      <c r="T67" s="110" t="s">
        <v>276</v>
      </c>
      <c r="U67" s="218" t="s">
        <v>550</v>
      </c>
      <c r="V67" s="111" t="s">
        <v>474</v>
      </c>
      <c r="W67" s="112" t="s">
        <v>21</v>
      </c>
      <c r="X67" s="110" t="s">
        <v>119</v>
      </c>
      <c r="Y67" s="110">
        <f t="shared" si="3"/>
        <v>15</v>
      </c>
      <c r="Z67" s="110" t="s">
        <v>119</v>
      </c>
      <c r="AA67" s="110">
        <f t="shared" si="4"/>
        <v>15</v>
      </c>
      <c r="AB67" s="110" t="s">
        <v>119</v>
      </c>
      <c r="AC67" s="110">
        <f t="shared" si="5"/>
        <v>15</v>
      </c>
      <c r="AD67" s="110" t="s">
        <v>119</v>
      </c>
      <c r="AE67" s="110">
        <f t="shared" si="6"/>
        <v>15</v>
      </c>
      <c r="AF67" s="110" t="s">
        <v>119</v>
      </c>
      <c r="AG67" s="110">
        <f t="shared" si="7"/>
        <v>15</v>
      </c>
      <c r="AH67" s="110" t="s">
        <v>119</v>
      </c>
      <c r="AI67" s="110">
        <f t="shared" si="8"/>
        <v>15</v>
      </c>
      <c r="AJ67" s="110" t="s">
        <v>120</v>
      </c>
      <c r="AK67" s="113">
        <f>+IF(AJ67="Completa",10,IF(AJ67="Incompleta",5,""))</f>
        <v>10</v>
      </c>
      <c r="AL67" s="114">
        <f>IF((SUM(Y67,AA67,AC67,AE67,AG67,AI67,AK67)=0),"",(SUM(Y67,AA67,AC67,AE67,AG67,AI67,AK67)))</f>
        <v>100</v>
      </c>
      <c r="AM67" s="114" t="str">
        <f>IF(AL67&lt;=85,"Débil",IF(AL67&lt;=95,"Moderado",IF(AL67=100,"Fuerte","")))</f>
        <v>Fuerte</v>
      </c>
      <c r="AN67" s="140" t="s">
        <v>353</v>
      </c>
      <c r="AO67" s="140">
        <f>IFERROR(VLOOKUP(AN67,'[24]Seguridad Información'!$C$61:$D$63,2,0),"")</f>
        <v>60</v>
      </c>
      <c r="AP67" s="140" t="s">
        <v>350</v>
      </c>
      <c r="AQ67" s="140">
        <f>IFERROR(VLOOKUP(AP67,'[24]Seguridad Información'!$E$61:$F$64,2,0),"")</f>
        <v>100</v>
      </c>
      <c r="AR67" s="140" t="s">
        <v>351</v>
      </c>
      <c r="AS67" s="140">
        <f>IFERROR(VLOOKUP(AR67,'[24]Seguridad Información'!$G$61:$H$64,2,0),"")</f>
        <v>100</v>
      </c>
      <c r="AT67" s="140" t="s">
        <v>352</v>
      </c>
      <c r="AU67" s="117">
        <f>IFERROR(VLOOKUP(AT67,'[24]Seguridad Información'!$I$61:$J$65,2,0),"")</f>
        <v>100</v>
      </c>
      <c r="AV67" s="117"/>
      <c r="AW67" s="118">
        <f>IFERROR(AVERAGE(AO67,AQ67,AS67,AU67),"")</f>
        <v>90</v>
      </c>
      <c r="AX67" s="114" t="str">
        <f>IF(AW67&lt;=80,"Débil",IF(AW67&lt;=90,"Moderado",IF(AW67=100,"Fuerte","")))</f>
        <v>Moderado</v>
      </c>
      <c r="AY67" s="118" t="str">
        <f>IFERROR(VLOOKUP((CONCATENATE(AM67,AX67)),[24]Listados!$U$3:$V$11,2,FALSE),"")</f>
        <v>Moderado</v>
      </c>
      <c r="AZ67" s="114">
        <f>IF(ISBLANK(AY67),"",IF(AY67="Débil", 0, IF(AY67="Moderado",50,100)))</f>
        <v>50</v>
      </c>
      <c r="BA67" s="323">
        <f>AVERAGE(AZ67:AZ68)</f>
        <v>25</v>
      </c>
      <c r="BB67" s="323" t="str">
        <f>IF(BA67&lt;=50, "Débil", IF(BA67&lt;=99,"Moderado","Fuerte"))</f>
        <v>Débil</v>
      </c>
      <c r="BC67" s="119">
        <f>+IF(AND(W67="Preventivo",BB67="Fuerte"),2,IF(AND(W67="Preventivo",BB67="Moderado"),1,0))</f>
        <v>0</v>
      </c>
      <c r="BD67" s="119">
        <f>+IF(AND(W67="Detectivo/Correctivo",$BB67="Fuerte"),2,IF(AND(W67="Detectivo/Correctivo",$BB67="Moderado"),1,IF(AND(W67="Preventivo",$BB67="Fuerte"),1,0)))</f>
        <v>0</v>
      </c>
      <c r="BE67" s="119">
        <f>+N67-BC67</f>
        <v>1</v>
      </c>
      <c r="BF67" s="119">
        <f>+P67-BD67</f>
        <v>3</v>
      </c>
      <c r="BG67" s="297" t="str">
        <f>+VLOOKUP(MIN(BE67,BE68),[24]Listados!$J$18:$K$24,2,TRUE)</f>
        <v>Rara Vez</v>
      </c>
      <c r="BH67" s="297" t="str">
        <f>+VLOOKUP(MIN(BF67,BF68),[24]Listados!$J$26:$K$32,2,TRUE)</f>
        <v>Moderado</v>
      </c>
      <c r="BI67" s="297" t="str">
        <f>IF(AND(BG67&lt;&gt;"",BH67&lt;&gt;""),VLOOKUP(BG67&amp;BH67,[24]Listados!$M$3:$N$27,2,FALSE),"")</f>
        <v>Moderado</v>
      </c>
      <c r="BJ67" s="298" t="s">
        <v>551</v>
      </c>
      <c r="BK67" s="304">
        <v>45323</v>
      </c>
      <c r="BL67" s="298" t="s">
        <v>482</v>
      </c>
      <c r="BM67" s="305" t="s">
        <v>552</v>
      </c>
    </row>
    <row r="68" spans="1:65" ht="127.5">
      <c r="A68" s="320"/>
      <c r="B68" s="455"/>
      <c r="C68" s="513"/>
      <c r="D68" s="321"/>
      <c r="E68" s="40" t="s">
        <v>181</v>
      </c>
      <c r="F68" s="452"/>
      <c r="G68" s="452"/>
      <c r="H68" s="471" t="s">
        <v>190</v>
      </c>
      <c r="I68" s="22" t="s">
        <v>202</v>
      </c>
      <c r="J68" s="471" t="s">
        <v>474</v>
      </c>
      <c r="K68" s="472" t="s">
        <v>17</v>
      </c>
      <c r="L68" s="23" t="s">
        <v>215</v>
      </c>
      <c r="M68" s="455"/>
      <c r="N68" s="456"/>
      <c r="O68" s="457"/>
      <c r="P68" s="456"/>
      <c r="Q68" s="459"/>
      <c r="R68" s="459"/>
      <c r="S68" s="460" t="s">
        <v>224</v>
      </c>
      <c r="T68" s="460" t="s">
        <v>264</v>
      </c>
      <c r="U68" s="512" t="s">
        <v>553</v>
      </c>
      <c r="V68" s="461" t="s">
        <v>474</v>
      </c>
      <c r="W68" s="473" t="s">
        <v>21</v>
      </c>
      <c r="X68" s="460" t="s">
        <v>119</v>
      </c>
      <c r="Y68" s="460">
        <f t="shared" si="3"/>
        <v>15</v>
      </c>
      <c r="Z68" s="460" t="s">
        <v>119</v>
      </c>
      <c r="AA68" s="460">
        <f t="shared" si="4"/>
        <v>15</v>
      </c>
      <c r="AB68" s="460" t="s">
        <v>119</v>
      </c>
      <c r="AC68" s="460">
        <f t="shared" si="5"/>
        <v>15</v>
      </c>
      <c r="AD68" s="460" t="s">
        <v>119</v>
      </c>
      <c r="AE68" s="460">
        <f t="shared" si="6"/>
        <v>15</v>
      </c>
      <c r="AF68" s="460" t="s">
        <v>119</v>
      </c>
      <c r="AG68" s="460">
        <f t="shared" si="7"/>
        <v>15</v>
      </c>
      <c r="AH68" s="460" t="s">
        <v>119</v>
      </c>
      <c r="AI68" s="460">
        <f t="shared" si="8"/>
        <v>15</v>
      </c>
      <c r="AJ68" s="460" t="s">
        <v>120</v>
      </c>
      <c r="AK68" s="462">
        <f t="shared" ref="AK68:AK90" si="94">+IF(AJ68="Completa",10,IF(AJ68="Incompleta",5,""))</f>
        <v>10</v>
      </c>
      <c r="AL68" s="463">
        <f>IF((SUM(Y68,AA68,AC68,AE68,AG68,AI68,AK68)=0),"",(SUM(Y68,AA68,AC68,AE68,AG68,AI68,AK68)))</f>
        <v>100</v>
      </c>
      <c r="AM68" s="463" t="str">
        <f>IF(AL68&lt;=85,"Débil",IF(AL68&lt;=95,"Moderado",IF(AL68=100,"Fuerte","")))</f>
        <v>Fuerte</v>
      </c>
      <c r="AN68" s="465" t="s">
        <v>353</v>
      </c>
      <c r="AO68" s="106">
        <f>IFERROR(VLOOKUP(AN68,'[24]Seguridad Información'!$C$61:$D$63,2,0),"")</f>
        <v>60</v>
      </c>
      <c r="AP68" s="465" t="s">
        <v>350</v>
      </c>
      <c r="AQ68" s="106">
        <f>IFERROR(VLOOKUP(AP68,'[24]Seguridad Información'!$E$61:$F$64,2,0),"")</f>
        <v>100</v>
      </c>
      <c r="AR68" s="465" t="s">
        <v>355</v>
      </c>
      <c r="AS68" s="106">
        <f>IFERROR(VLOOKUP(AR68,'[24]Seguridad Información'!$G$61:$H$64,2,0),"")</f>
        <v>60</v>
      </c>
      <c r="AT68" s="465" t="s">
        <v>352</v>
      </c>
      <c r="AU68" s="444">
        <f>IFERROR(VLOOKUP(AT68,'[24]Seguridad Información'!$I$61:$J$65,2,0),"")</f>
        <v>100</v>
      </c>
      <c r="AV68" s="444"/>
      <c r="AW68" s="475">
        <f t="shared" ref="AW68:AW90" si="95">IFERROR(AVERAGE(AO68,AQ68,AS68,AU68),"")</f>
        <v>80</v>
      </c>
      <c r="AX68" s="463" t="str">
        <f t="shared" ref="AX68:AX90" si="96">IF(AW68&lt;=80,"Débil",IF(AW68&lt;=90,"Moderado",IF(AW68=100,"Fuerte","")))</f>
        <v>Débil</v>
      </c>
      <c r="AY68" s="475" t="str">
        <f>IFERROR(VLOOKUP((CONCATENATE(AM68,AX68)),[24]Listados!$U$3:$V$11,2,FALSE),"")</f>
        <v>Débil</v>
      </c>
      <c r="AZ68" s="463">
        <f>IF(ISBLANK(AY68),"",IF(AY68="Débil", 0, IF(AY68="Moderado",50,100)))</f>
        <v>0</v>
      </c>
      <c r="BA68" s="476"/>
      <c r="BB68" s="476"/>
      <c r="BC68" s="477">
        <f>+IF(AND(W68="Preventivo",BB67="Fuerte"),2,IF(AND(W68="Preventivo",BB67="Moderado"),1,0))</f>
        <v>0</v>
      </c>
      <c r="BD68" s="477">
        <f>+IF(AND(W68="Detectivo/Correctivo",$BB67="Fuerte"),2,IF(AND(W68="Detectivo/Correctivo",$BB68="Moderado"),1,IF(AND(W68="Preventivo",$BB67="Fuerte"),1,0)))</f>
        <v>0</v>
      </c>
      <c r="BE68" s="477">
        <f>+N67-BC68</f>
        <v>1</v>
      </c>
      <c r="BF68" s="477">
        <f>+P67-BD68</f>
        <v>3</v>
      </c>
      <c r="BG68" s="459"/>
      <c r="BH68" s="459"/>
      <c r="BI68" s="459"/>
      <c r="BJ68" s="469"/>
      <c r="BK68" s="469"/>
      <c r="BL68" s="469"/>
      <c r="BM68" s="300"/>
    </row>
    <row r="69" spans="1:65" ht="127.5">
      <c r="A69" s="320">
        <v>2</v>
      </c>
      <c r="B69" s="469" t="s">
        <v>92</v>
      </c>
      <c r="C69" s="513" t="str">
        <f>IFERROR(VLOOKUP(B69,[24]Listados!B$3:C$20,2,FALSE),"")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69" s="357" t="s">
        <v>554</v>
      </c>
      <c r="E69" s="40" t="s">
        <v>181</v>
      </c>
      <c r="F69" s="452" t="s">
        <v>181</v>
      </c>
      <c r="G69" s="358" t="s">
        <v>198</v>
      </c>
      <c r="H69" s="471" t="s">
        <v>187</v>
      </c>
      <c r="I69" s="22" t="s">
        <v>202</v>
      </c>
      <c r="J69" s="471" t="s">
        <v>208</v>
      </c>
      <c r="K69" s="472" t="s">
        <v>17</v>
      </c>
      <c r="L69" s="23" t="s">
        <v>215</v>
      </c>
      <c r="M69" s="455" t="s">
        <v>22</v>
      </c>
      <c r="N69" s="456">
        <f>+VLOOKUP(M69,[24]Listados!$K$8:$L$12,2,0)</f>
        <v>1</v>
      </c>
      <c r="O69" s="457" t="s">
        <v>33</v>
      </c>
      <c r="P69" s="456">
        <f>+VLOOKUP(O69,[24]Listados!$K$13:$L$17,2,0)</f>
        <v>2</v>
      </c>
      <c r="Q69" s="459" t="str">
        <f>IF(AND(M69&lt;&gt;"",O69&lt;&gt;""),VLOOKUP(M69&amp;O69,[24]Listados!$M$3:$N$27,2,FALSE),"")</f>
        <v>Bajo</v>
      </c>
      <c r="R69" s="459" t="str">
        <f>+VLOOKUP(Q69,[24]Listados!$P$3:$Q$6,2,FALSE)</f>
        <v>Asumir el riesgo</v>
      </c>
      <c r="S69" s="460" t="s">
        <v>225</v>
      </c>
      <c r="T69" s="460" t="s">
        <v>339</v>
      </c>
      <c r="U69" s="260" t="s">
        <v>555</v>
      </c>
      <c r="V69" s="461" t="s">
        <v>208</v>
      </c>
      <c r="W69" s="479" t="s">
        <v>21</v>
      </c>
      <c r="X69" s="460" t="s">
        <v>119</v>
      </c>
      <c r="Y69" s="460">
        <f t="shared" si="3"/>
        <v>15</v>
      </c>
      <c r="Z69" s="480" t="s">
        <v>119</v>
      </c>
      <c r="AA69" s="460">
        <f t="shared" si="4"/>
        <v>15</v>
      </c>
      <c r="AB69" s="460" t="s">
        <v>119</v>
      </c>
      <c r="AC69" s="460">
        <f t="shared" si="5"/>
        <v>15</v>
      </c>
      <c r="AD69" s="460" t="s">
        <v>119</v>
      </c>
      <c r="AE69" s="460">
        <f t="shared" si="6"/>
        <v>15</v>
      </c>
      <c r="AF69" s="460" t="s">
        <v>119</v>
      </c>
      <c r="AG69" s="460">
        <f t="shared" si="7"/>
        <v>15</v>
      </c>
      <c r="AH69" s="460" t="s">
        <v>119</v>
      </c>
      <c r="AI69" s="460">
        <f t="shared" si="8"/>
        <v>15</v>
      </c>
      <c r="AJ69" s="460" t="s">
        <v>120</v>
      </c>
      <c r="AK69" s="462">
        <f t="shared" si="94"/>
        <v>10</v>
      </c>
      <c r="AL69" s="463">
        <f t="shared" ref="AL69:AL90" si="97">IF((SUM(Y69,AA69,AC69,AE69,AG69,AI69,AK69)=0),"",(SUM(Y69,AA69,AC69,AE69,AG69,AI69,AK69)))</f>
        <v>100</v>
      </c>
      <c r="AM69" s="463" t="str">
        <f t="shared" ref="AM69:AM90" si="98">IF(AL69&lt;=85,"Débil",IF(AL69&lt;=95,"Moderado",IF(AL69=100,"Fuerte","")))</f>
        <v>Fuerte</v>
      </c>
      <c r="AN69" s="465" t="s">
        <v>349</v>
      </c>
      <c r="AO69" s="106">
        <f>IFERROR(VLOOKUP(AN69,'[24]Seguridad Información'!$C$61:$D$63,2,0),"")</f>
        <v>100</v>
      </c>
      <c r="AP69" s="465" t="s">
        <v>350</v>
      </c>
      <c r="AQ69" s="106">
        <f>IFERROR(VLOOKUP(AP69,'[24]Seguridad Información'!$E$61:$F$64,2,0),"")</f>
        <v>100</v>
      </c>
      <c r="AR69" s="465" t="s">
        <v>355</v>
      </c>
      <c r="AS69" s="106">
        <f>IFERROR(VLOOKUP(AR69,'[24]Seguridad Información'!$G$61:$H$64,2,0),"")</f>
        <v>60</v>
      </c>
      <c r="AT69" s="465" t="s">
        <v>352</v>
      </c>
      <c r="AU69" s="444">
        <f>IFERROR(VLOOKUP(AT69,'[24]Seguridad Información'!$I$61:$J$65,2,0),"")</f>
        <v>100</v>
      </c>
      <c r="AV69" s="444"/>
      <c r="AW69" s="475">
        <f t="shared" si="95"/>
        <v>90</v>
      </c>
      <c r="AX69" s="463" t="str">
        <f t="shared" si="96"/>
        <v>Moderado</v>
      </c>
      <c r="AY69" s="475" t="str">
        <f>IFERROR(VLOOKUP((CONCATENATE(AM69,AX69)),[24]Listados!$U$3:$V$11,2,FALSE),"")</f>
        <v>Moderado</v>
      </c>
      <c r="AZ69" s="463">
        <f t="shared" ref="AZ69:AZ90" si="99">IF(ISBLANK(AY69),"",IF(AY69="Débil", 0, IF(AY69="Moderado",50,100)))</f>
        <v>50</v>
      </c>
      <c r="BA69" s="476">
        <f>AVERAGE(AZ69:AZ70)</f>
        <v>25</v>
      </c>
      <c r="BB69" s="476" t="str">
        <f>IF(BA69&lt;=50, "Débil", IF(BA69&lt;=99,"Moderado","Fuerte"))</f>
        <v>Débil</v>
      </c>
      <c r="BC69" s="477">
        <f>+IF(AND(W69="Preventivo",BB69="Fuerte"),2,IF(AND(W69="Preventivo",BB69="Moderado"),1,0))</f>
        <v>0</v>
      </c>
      <c r="BD69" s="477">
        <f>+IF(AND(W69="Detectivo/Correctivo",$BB69="Fuerte"),2,IF(AND(W69="Detectivo/Correctivo",$BB69="Moderado"),1,IF(AND(W69="Preventivo",$BB69="Fuerte"),1,0)))</f>
        <v>0</v>
      </c>
      <c r="BE69" s="477">
        <f>+N69-BC69</f>
        <v>1</v>
      </c>
      <c r="BF69" s="477">
        <f>+P69-BD69</f>
        <v>2</v>
      </c>
      <c r="BG69" s="459" t="str">
        <f>+VLOOKUP(MIN(BE69,BE70),[24]Listados!$J$18:$K$24,2,TRUE)</f>
        <v>Rara Vez</v>
      </c>
      <c r="BH69" s="459" t="str">
        <f>+VLOOKUP(MIN(BF69,BF70),[24]Listados!$J$26:$K$32,2,TRUE)</f>
        <v>Menor</v>
      </c>
      <c r="BI69" s="459" t="str">
        <f>IF(AND(BG69&lt;&gt;"",BH69&lt;&gt;""),VLOOKUP(BG69&amp;BH69,[24]Listados!$M$3:$N$27,2,FALSE),"")</f>
        <v>Bajo</v>
      </c>
      <c r="BJ69" s="469" t="str">
        <f>+IF($R69="Asumir el riesgo","NA","")</f>
        <v>NA</v>
      </c>
      <c r="BK69" s="469" t="str">
        <f>+IF($R69="Asumir el riesgo","NA","")</f>
        <v>NA</v>
      </c>
      <c r="BL69" s="469" t="str">
        <f>+IF($R69="Asumir el riesgo","NA","")</f>
        <v>NA</v>
      </c>
      <c r="BM69" s="300" t="str">
        <f>+IF($R69="Asumir el riesgo","NA","")</f>
        <v>NA</v>
      </c>
    </row>
    <row r="70" spans="1:65" ht="114.75">
      <c r="A70" s="320"/>
      <c r="B70" s="469"/>
      <c r="C70" s="513"/>
      <c r="D70" s="321"/>
      <c r="E70" s="40" t="s">
        <v>180</v>
      </c>
      <c r="F70" s="452"/>
      <c r="G70" s="452"/>
      <c r="H70" s="471" t="s">
        <v>192</v>
      </c>
      <c r="I70" s="22" t="s">
        <v>201</v>
      </c>
      <c r="J70" s="471" t="s">
        <v>204</v>
      </c>
      <c r="K70" s="472" t="s">
        <v>17</v>
      </c>
      <c r="L70" s="23" t="s">
        <v>215</v>
      </c>
      <c r="M70" s="455"/>
      <c r="N70" s="456"/>
      <c r="O70" s="457"/>
      <c r="P70" s="456"/>
      <c r="Q70" s="459"/>
      <c r="R70" s="459"/>
      <c r="S70" s="460" t="s">
        <v>220</v>
      </c>
      <c r="T70" s="460" t="s">
        <v>248</v>
      </c>
      <c r="U70" s="512" t="s">
        <v>556</v>
      </c>
      <c r="V70" s="461" t="s">
        <v>204</v>
      </c>
      <c r="W70" s="479" t="s">
        <v>21</v>
      </c>
      <c r="X70" s="460" t="s">
        <v>119</v>
      </c>
      <c r="Y70" s="460">
        <f t="shared" si="3"/>
        <v>15</v>
      </c>
      <c r="Z70" s="480" t="s">
        <v>119</v>
      </c>
      <c r="AA70" s="460">
        <f t="shared" si="4"/>
        <v>15</v>
      </c>
      <c r="AB70" s="460" t="s">
        <v>119</v>
      </c>
      <c r="AC70" s="460">
        <f t="shared" si="5"/>
        <v>15</v>
      </c>
      <c r="AD70" s="460" t="s">
        <v>119</v>
      </c>
      <c r="AE70" s="460">
        <f t="shared" si="6"/>
        <v>15</v>
      </c>
      <c r="AF70" s="460" t="s">
        <v>119</v>
      </c>
      <c r="AG70" s="460">
        <f t="shared" si="7"/>
        <v>15</v>
      </c>
      <c r="AH70" s="460" t="s">
        <v>119</v>
      </c>
      <c r="AI70" s="460">
        <f t="shared" si="8"/>
        <v>15</v>
      </c>
      <c r="AJ70" s="460" t="s">
        <v>120</v>
      </c>
      <c r="AK70" s="462">
        <f t="shared" si="94"/>
        <v>10</v>
      </c>
      <c r="AL70" s="463">
        <f t="shared" si="97"/>
        <v>100</v>
      </c>
      <c r="AM70" s="463" t="str">
        <f t="shared" si="98"/>
        <v>Fuerte</v>
      </c>
      <c r="AN70" s="465" t="s">
        <v>357</v>
      </c>
      <c r="AO70" s="106">
        <f>IFERROR(VLOOKUP(AN70,'[24]Seguridad Información'!$C$61:$D$63,2,0),"")</f>
        <v>20</v>
      </c>
      <c r="AP70" s="465" t="s">
        <v>350</v>
      </c>
      <c r="AQ70" s="106">
        <f>IFERROR(VLOOKUP(AP70,'[24]Seguridad Información'!$E$61:$F$64,2,0),"")</f>
        <v>100</v>
      </c>
      <c r="AR70" s="465" t="s">
        <v>355</v>
      </c>
      <c r="AS70" s="106">
        <f>IFERROR(VLOOKUP(AR70,'[24]Seguridad Información'!$G$61:$H$64,2,0),"")</f>
        <v>60</v>
      </c>
      <c r="AT70" s="465" t="s">
        <v>352</v>
      </c>
      <c r="AU70" s="444">
        <f>IFERROR(VLOOKUP(AT70,'[24]Seguridad Información'!$I$61:$J$65,2,0),"")</f>
        <v>100</v>
      </c>
      <c r="AV70" s="444"/>
      <c r="AW70" s="475">
        <f t="shared" si="95"/>
        <v>70</v>
      </c>
      <c r="AX70" s="463" t="str">
        <f t="shared" si="96"/>
        <v>Débil</v>
      </c>
      <c r="AY70" s="475" t="str">
        <f>IFERROR(VLOOKUP((CONCATENATE(AM70,AX70)),[24]Listados!$U$3:$V$11,2,FALSE),"")</f>
        <v>Débil</v>
      </c>
      <c r="AZ70" s="463">
        <f t="shared" si="99"/>
        <v>0</v>
      </c>
      <c r="BA70" s="476"/>
      <c r="BB70" s="476"/>
      <c r="BC70" s="477">
        <f>+IF(AND(W70="Preventivo",BB69="Fuerte"),2,IF(AND(W70="Preventivo",BB69="Moderado"),1,0))</f>
        <v>0</v>
      </c>
      <c r="BD70" s="477">
        <f>+IF(AND(W70="Detectivo/Correctivo",$BB69="Fuerte"),2,IF(AND(W70="Detectivo/Correctivo",$BB70="Moderado"),1,IF(AND(W70="Preventivo",$BB69="Fuerte"),1,0)))</f>
        <v>0</v>
      </c>
      <c r="BE70" s="477">
        <f>+N69-BC70</f>
        <v>1</v>
      </c>
      <c r="BF70" s="477">
        <f>+P69-BD70</f>
        <v>2</v>
      </c>
      <c r="BG70" s="459"/>
      <c r="BH70" s="459"/>
      <c r="BI70" s="459"/>
      <c r="BJ70" s="469"/>
      <c r="BK70" s="469"/>
      <c r="BL70" s="469"/>
      <c r="BM70" s="300"/>
    </row>
    <row r="71" spans="1:65" ht="114.75">
      <c r="A71" s="320">
        <v>3</v>
      </c>
      <c r="B71" s="469" t="s">
        <v>92</v>
      </c>
      <c r="C71" s="513" t="str">
        <f>IFERROR(VLOOKUP(B71,[24]Listados!B$3:C$20,2,FALSE),"")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71" s="357" t="s">
        <v>557</v>
      </c>
      <c r="E71" s="40" t="s">
        <v>182</v>
      </c>
      <c r="F71" s="452" t="s">
        <v>182</v>
      </c>
      <c r="G71" s="358" t="s">
        <v>199</v>
      </c>
      <c r="H71" s="471" t="s">
        <v>191</v>
      </c>
      <c r="I71" s="22" t="s">
        <v>203</v>
      </c>
      <c r="J71" s="471" t="s">
        <v>211</v>
      </c>
      <c r="K71" s="472" t="s">
        <v>17</v>
      </c>
      <c r="L71" s="23" t="s">
        <v>215</v>
      </c>
      <c r="M71" s="455" t="s">
        <v>22</v>
      </c>
      <c r="N71" s="456">
        <f>+VLOOKUP(M71,[24]Listados!$K$8:$L$12,2,0)</f>
        <v>1</v>
      </c>
      <c r="O71" s="457" t="s">
        <v>33</v>
      </c>
      <c r="P71" s="456">
        <f>+VLOOKUP(O71,[24]Listados!$K$13:$L$17,2,0)</f>
        <v>2</v>
      </c>
      <c r="Q71" s="459" t="str">
        <f>IF(AND(M71&lt;&gt;"",O71&lt;&gt;""),VLOOKUP(M71&amp;O71,[24]Listados!$M$3:$N$27,2,FALSE),"")</f>
        <v>Bajo</v>
      </c>
      <c r="R71" s="459" t="str">
        <f>+VLOOKUP(Q71,[24]Listados!$P$3:$Q$6,2,FALSE)</f>
        <v>Asumir el riesgo</v>
      </c>
      <c r="S71" s="460" t="s">
        <v>222</v>
      </c>
      <c r="T71" s="460" t="s">
        <v>250</v>
      </c>
      <c r="U71" s="512" t="s">
        <v>558</v>
      </c>
      <c r="V71" s="461" t="s">
        <v>211</v>
      </c>
      <c r="W71" s="479" t="s">
        <v>21</v>
      </c>
      <c r="X71" s="480" t="s">
        <v>119</v>
      </c>
      <c r="Y71" s="460">
        <f t="shared" si="3"/>
        <v>15</v>
      </c>
      <c r="Z71" s="480" t="s">
        <v>119</v>
      </c>
      <c r="AA71" s="460">
        <f t="shared" si="4"/>
        <v>15</v>
      </c>
      <c r="AB71" s="460" t="s">
        <v>119</v>
      </c>
      <c r="AC71" s="460">
        <f t="shared" si="5"/>
        <v>15</v>
      </c>
      <c r="AD71" s="460" t="s">
        <v>167</v>
      </c>
      <c r="AE71" s="460">
        <f t="shared" si="6"/>
        <v>15</v>
      </c>
      <c r="AF71" s="460" t="s">
        <v>167</v>
      </c>
      <c r="AG71" s="460">
        <f t="shared" si="7"/>
        <v>15</v>
      </c>
      <c r="AH71" s="460" t="s">
        <v>167</v>
      </c>
      <c r="AI71" s="460">
        <f t="shared" si="8"/>
        <v>15</v>
      </c>
      <c r="AJ71" s="460" t="s">
        <v>120</v>
      </c>
      <c r="AK71" s="462">
        <f t="shared" si="94"/>
        <v>10</v>
      </c>
      <c r="AL71" s="463">
        <f t="shared" si="97"/>
        <v>100</v>
      </c>
      <c r="AM71" s="463" t="str">
        <f t="shared" si="98"/>
        <v>Fuerte</v>
      </c>
      <c r="AN71" s="486" t="s">
        <v>349</v>
      </c>
      <c r="AO71" s="265">
        <f>IFERROR(VLOOKUP(AN71,'[24]Seguridad Información'!$C$61:$D$63,2,0),"")</f>
        <v>100</v>
      </c>
      <c r="AP71" s="465" t="s">
        <v>350</v>
      </c>
      <c r="AQ71" s="86">
        <f>IFERROR(VLOOKUP(AP71,'[24]Seguridad Información'!$E$61:$F$64,2,0),"")</f>
        <v>100</v>
      </c>
      <c r="AR71" s="485" t="s">
        <v>355</v>
      </c>
      <c r="AS71" s="86">
        <f>IFERROR(VLOOKUP(AR71,'[24]Seguridad Información'!$G$61:$H$64,2,0),"")</f>
        <v>60</v>
      </c>
      <c r="AT71" s="465" t="s">
        <v>352</v>
      </c>
      <c r="AU71" s="444">
        <f>IFERROR(VLOOKUP(AT71,'[24]Seguridad Información'!$I$61:$J$65,2,0),"")</f>
        <v>100</v>
      </c>
      <c r="AV71" s="444"/>
      <c r="AW71" s="475">
        <f t="shared" si="95"/>
        <v>90</v>
      </c>
      <c r="AX71" s="463" t="str">
        <f t="shared" si="96"/>
        <v>Moderado</v>
      </c>
      <c r="AY71" s="475" t="str">
        <f>IFERROR(VLOOKUP((CONCATENATE(AM71,AX71)),[24]Listados!$U$3:$V$11,2,FALSE),"")</f>
        <v>Moderado</v>
      </c>
      <c r="AZ71" s="463">
        <f t="shared" si="99"/>
        <v>50</v>
      </c>
      <c r="BA71" s="476">
        <f>AVERAGE(AZ71:AZ72)</f>
        <v>50</v>
      </c>
      <c r="BB71" s="476" t="str">
        <f>IF(BA71&lt;=50, "Débil", IF(BA71&lt;=99,"Moderado","Fuerte"))</f>
        <v>Débil</v>
      </c>
      <c r="BC71" s="477">
        <f>+IF(AND(W71="Preventivo",BB71="Fuerte"),2,IF(AND(W71="Preventivo",BB71="Moderado"),1,0))</f>
        <v>0</v>
      </c>
      <c r="BD71" s="477">
        <f>+IF(AND(W71="Detectivo/Correctivo",$BB71="Fuerte"),2,IF(AND(W71="Detectivo/Correctivo",$BB71="Moderado"),1,IF(AND(W71="Preventivo",$BB71="Fuerte"),1,0)))</f>
        <v>0</v>
      </c>
      <c r="BE71" s="477">
        <f>+N71-BC71</f>
        <v>1</v>
      </c>
      <c r="BF71" s="477">
        <f>+P71-BD71</f>
        <v>2</v>
      </c>
      <c r="BG71" s="459" t="str">
        <f>+VLOOKUP(MIN(BE71,BE72),[24]Listados!$J$18:$K$24,2,TRUE)</f>
        <v>Rara Vez</v>
      </c>
      <c r="BH71" s="459" t="str">
        <f>+VLOOKUP(MIN(BF71,BF72),[24]Listados!$J$26:$K$32,2,TRUE)</f>
        <v>Menor</v>
      </c>
      <c r="BI71" s="459" t="str">
        <f>IF(AND(BG71&lt;&gt;"",BH71&lt;&gt;""),VLOOKUP(BG71&amp;BH71,[24]Listados!$M$3:$N$27,2,FALSE),"")</f>
        <v>Bajo</v>
      </c>
      <c r="BJ71" s="469" t="str">
        <f>+IF($R71="Asumir el riesgo","NA","")</f>
        <v>NA</v>
      </c>
      <c r="BK71" s="469" t="str">
        <f>+IF($R71="Asumir el riesgo","NA","")</f>
        <v>NA</v>
      </c>
      <c r="BL71" s="469" t="str">
        <f>+IF($R71="Asumir el riesgo","NA","")</f>
        <v>NA</v>
      </c>
      <c r="BM71" s="300" t="str">
        <f>+IF($R71="Asumir el riesgo","NA","")</f>
        <v>NA</v>
      </c>
    </row>
    <row r="72" spans="1:65" ht="89.25">
      <c r="A72" s="320"/>
      <c r="B72" s="469"/>
      <c r="C72" s="513"/>
      <c r="D72" s="321"/>
      <c r="E72" s="40" t="s">
        <v>180</v>
      </c>
      <c r="F72" s="452"/>
      <c r="G72" s="452"/>
      <c r="H72" s="471" t="s">
        <v>192</v>
      </c>
      <c r="I72" s="22" t="s">
        <v>201</v>
      </c>
      <c r="J72" s="471" t="s">
        <v>559</v>
      </c>
      <c r="K72" s="472" t="s">
        <v>17</v>
      </c>
      <c r="L72" s="23" t="s">
        <v>215</v>
      </c>
      <c r="M72" s="455"/>
      <c r="N72" s="456"/>
      <c r="O72" s="457"/>
      <c r="P72" s="456"/>
      <c r="Q72" s="459"/>
      <c r="R72" s="459"/>
      <c r="S72" s="460" t="s">
        <v>225</v>
      </c>
      <c r="T72" s="460" t="s">
        <v>289</v>
      </c>
      <c r="U72" s="512" t="s">
        <v>560</v>
      </c>
      <c r="V72" s="461" t="s">
        <v>559</v>
      </c>
      <c r="W72" s="479" t="s">
        <v>21</v>
      </c>
      <c r="X72" s="480" t="s">
        <v>119</v>
      </c>
      <c r="Y72" s="460">
        <f t="shared" si="3"/>
        <v>15</v>
      </c>
      <c r="Z72" s="480" t="s">
        <v>167</v>
      </c>
      <c r="AA72" s="460">
        <f t="shared" si="4"/>
        <v>15</v>
      </c>
      <c r="AB72" s="460" t="s">
        <v>167</v>
      </c>
      <c r="AC72" s="460">
        <f t="shared" si="5"/>
        <v>15</v>
      </c>
      <c r="AD72" s="460" t="s">
        <v>167</v>
      </c>
      <c r="AE72" s="460">
        <f t="shared" si="6"/>
        <v>15</v>
      </c>
      <c r="AF72" s="460" t="s">
        <v>167</v>
      </c>
      <c r="AG72" s="460">
        <f t="shared" si="7"/>
        <v>15</v>
      </c>
      <c r="AH72" s="460" t="s">
        <v>167</v>
      </c>
      <c r="AI72" s="460">
        <f t="shared" si="8"/>
        <v>15</v>
      </c>
      <c r="AJ72" s="460" t="s">
        <v>120</v>
      </c>
      <c r="AK72" s="462">
        <f t="shared" si="94"/>
        <v>10</v>
      </c>
      <c r="AL72" s="463">
        <f t="shared" si="97"/>
        <v>100</v>
      </c>
      <c r="AM72" s="463" t="str">
        <f t="shared" si="98"/>
        <v>Fuerte</v>
      </c>
      <c r="AN72" s="486" t="s">
        <v>349</v>
      </c>
      <c r="AO72" s="265">
        <f>IFERROR(VLOOKUP(AN72,'[24]Seguridad Información'!$C$61:$D$63,2,0),"")</f>
        <v>100</v>
      </c>
      <c r="AP72" s="465" t="s">
        <v>350</v>
      </c>
      <c r="AQ72" s="86">
        <f>IFERROR(VLOOKUP(AP72,'[24]Seguridad Información'!$E$61:$F$64,2,0),"")</f>
        <v>100</v>
      </c>
      <c r="AR72" s="485" t="s">
        <v>355</v>
      </c>
      <c r="AS72" s="86">
        <f>IFERROR(VLOOKUP(AR72,'[24]Seguridad Información'!$G$61:$H$64,2,0),"")</f>
        <v>60</v>
      </c>
      <c r="AT72" s="465" t="s">
        <v>352</v>
      </c>
      <c r="AU72" s="444">
        <f>IFERROR(VLOOKUP(AT72,'[24]Seguridad Información'!$I$61:$J$65,2,0),"")</f>
        <v>100</v>
      </c>
      <c r="AV72" s="444"/>
      <c r="AW72" s="475">
        <f t="shared" si="95"/>
        <v>90</v>
      </c>
      <c r="AX72" s="463" t="str">
        <f t="shared" si="96"/>
        <v>Moderado</v>
      </c>
      <c r="AY72" s="475" t="str">
        <f>IFERROR(VLOOKUP((CONCATENATE(AM72,AX72)),[24]Listados!$U$3:$V$11,2,FALSE),"")</f>
        <v>Moderado</v>
      </c>
      <c r="AZ72" s="463">
        <f t="shared" si="99"/>
        <v>50</v>
      </c>
      <c r="BA72" s="476"/>
      <c r="BB72" s="476"/>
      <c r="BC72" s="477">
        <f>+IF(AND(W72="Preventivo",BB71="Fuerte"),2,IF(AND(W72="Preventivo",BB71="Moderado"),1,0))</f>
        <v>0</v>
      </c>
      <c r="BD72" s="477">
        <f>+IF(AND(W72="Detectivo/Correctivo",$BB71="Fuerte"),2,IF(AND(W72="Detectivo/Correctivo",$BB72="Moderado"),1,IF(AND(W72="Preventivo",$BB71="Fuerte"),1,0)))</f>
        <v>0</v>
      </c>
      <c r="BE72" s="477">
        <f>+N71-BC72</f>
        <v>1</v>
      </c>
      <c r="BF72" s="477">
        <f>+P71-BD72</f>
        <v>2</v>
      </c>
      <c r="BG72" s="459"/>
      <c r="BH72" s="459"/>
      <c r="BI72" s="459"/>
      <c r="BJ72" s="469"/>
      <c r="BK72" s="469"/>
      <c r="BL72" s="469"/>
      <c r="BM72" s="300"/>
    </row>
    <row r="73" spans="1:65" ht="102">
      <c r="A73" s="320">
        <v>4</v>
      </c>
      <c r="B73" s="469" t="s">
        <v>92</v>
      </c>
      <c r="C73" s="513" t="str">
        <f>IFERROR(VLOOKUP(B73,[24]Listados!B$3:C$20,2,FALSE),"")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73" s="357" t="s">
        <v>561</v>
      </c>
      <c r="E73" s="40" t="s">
        <v>182</v>
      </c>
      <c r="F73" s="452" t="s">
        <v>182</v>
      </c>
      <c r="G73" s="358" t="s">
        <v>199</v>
      </c>
      <c r="H73" s="471" t="s">
        <v>185</v>
      </c>
      <c r="I73" s="22" t="s">
        <v>203</v>
      </c>
      <c r="J73" s="471" t="s">
        <v>209</v>
      </c>
      <c r="K73" s="472" t="s">
        <v>17</v>
      </c>
      <c r="L73" s="23" t="s">
        <v>216</v>
      </c>
      <c r="M73" s="455" t="s">
        <v>32</v>
      </c>
      <c r="N73" s="456">
        <f>+VLOOKUP(M73,[24]Listados!$K$8:$L$12,2,0)</f>
        <v>2</v>
      </c>
      <c r="O73" s="457" t="s">
        <v>55</v>
      </c>
      <c r="P73" s="456">
        <f>+VLOOKUP(O73,[24]Listados!$K$13:$L$17,2,0)</f>
        <v>4</v>
      </c>
      <c r="Q73" s="459" t="str">
        <f>IF(AND(M73&lt;&gt;"",O73&lt;&gt;""),VLOOKUP(M73&amp;O73,[24]Listados!$M$3:$N$27,2,FALSE),"")</f>
        <v>Alto</v>
      </c>
      <c r="R73" s="459" t="str">
        <f>+VLOOKUP(Q73,[24]Listados!$P$3:$Q$6,2,FALSE)</f>
        <v>Reducir el riesgo</v>
      </c>
      <c r="S73" s="460" t="s">
        <v>228</v>
      </c>
      <c r="T73" s="460" t="s">
        <v>268</v>
      </c>
      <c r="U73" s="512" t="s">
        <v>562</v>
      </c>
      <c r="V73" s="461" t="s">
        <v>209</v>
      </c>
      <c r="W73" s="479" t="s">
        <v>21</v>
      </c>
      <c r="X73" s="480" t="s">
        <v>119</v>
      </c>
      <c r="Y73" s="460">
        <f t="shared" ref="Y73:Y95" si="100">+IF(X73="si",15,"")</f>
        <v>15</v>
      </c>
      <c r="Z73" s="480" t="s">
        <v>563</v>
      </c>
      <c r="AA73" s="460">
        <f t="shared" ref="AA73:AA95" si="101">+IF(Z73="si",15,"")</f>
        <v>15</v>
      </c>
      <c r="AB73" s="460" t="s">
        <v>563</v>
      </c>
      <c r="AC73" s="460">
        <f t="shared" ref="AC73:AC95" si="102">+IF(AB73="si",15,"")</f>
        <v>15</v>
      </c>
      <c r="AD73" s="460" t="s">
        <v>563</v>
      </c>
      <c r="AE73" s="460">
        <f t="shared" ref="AE73:AE95" si="103">+IF(AD73="si",15,"")</f>
        <v>15</v>
      </c>
      <c r="AF73" s="460" t="s">
        <v>563</v>
      </c>
      <c r="AG73" s="460">
        <f t="shared" ref="AG73:AG95" si="104">+IF(AF73="si",15,"")</f>
        <v>15</v>
      </c>
      <c r="AH73" s="460" t="s">
        <v>563</v>
      </c>
      <c r="AI73" s="460">
        <f t="shared" ref="AI73:AI95" si="105">+IF(AH73="si",15,"")</f>
        <v>15</v>
      </c>
      <c r="AJ73" s="460" t="s">
        <v>120</v>
      </c>
      <c r="AK73" s="462">
        <f t="shared" si="94"/>
        <v>10</v>
      </c>
      <c r="AL73" s="463">
        <f t="shared" si="97"/>
        <v>100</v>
      </c>
      <c r="AM73" s="463" t="str">
        <f t="shared" si="98"/>
        <v>Fuerte</v>
      </c>
      <c r="AN73" s="514" t="s">
        <v>357</v>
      </c>
      <c r="AO73" s="265">
        <f>IFERROR(VLOOKUP(AN73,'[24]Seguridad Información'!$C$61:$D$63,2,0),"")</f>
        <v>20</v>
      </c>
      <c r="AP73" s="465" t="s">
        <v>350</v>
      </c>
      <c r="AQ73" s="86">
        <f>IFERROR(VLOOKUP(AP73,'[24]Seguridad Información'!$E$61:$F$64,2,0),"")</f>
        <v>100</v>
      </c>
      <c r="AR73" s="485" t="s">
        <v>355</v>
      </c>
      <c r="AS73" s="86">
        <f>IFERROR(VLOOKUP(AR73,'[24]Seguridad Información'!$G$61:$H$64,2,0),"")</f>
        <v>60</v>
      </c>
      <c r="AT73" s="514" t="s">
        <v>352</v>
      </c>
      <c r="AU73" s="444">
        <f>IFERROR(VLOOKUP(AT73,'[24]Seguridad Información'!$I$61:$J$65,2,0),"")</f>
        <v>100</v>
      </c>
      <c r="AV73" s="444"/>
      <c r="AW73" s="475">
        <f t="shared" si="95"/>
        <v>70</v>
      </c>
      <c r="AX73" s="463" t="str">
        <f t="shared" si="96"/>
        <v>Débil</v>
      </c>
      <c r="AY73" s="475" t="str">
        <f>IFERROR(VLOOKUP((CONCATENATE(AM73,AX73)),[24]Listados!$U$3:$V$11,2,FALSE),"")</f>
        <v>Débil</v>
      </c>
      <c r="AZ73" s="463">
        <f t="shared" si="99"/>
        <v>0</v>
      </c>
      <c r="BA73" s="411">
        <f>AVERAGE(AZ73:AZ75)</f>
        <v>33.333333333333336</v>
      </c>
      <c r="BB73" s="476" t="str">
        <f>IF(BA73&lt;=50, "Débil", IF(BA73&lt;=99,"Moderado","Fuerte"))</f>
        <v>Débil</v>
      </c>
      <c r="BC73" s="477">
        <f>+IF(AND(W73="Preventivo",BB73="Fuerte"),2,IF(AND(W73="Preventivo",BB73="Moderado"),1,0))</f>
        <v>0</v>
      </c>
      <c r="BD73" s="477">
        <f>+IF(AND(W73="Detectivo/Correctivo",$BB73="Fuerte"),2,IF(AND(W73="Detectivo/Correctivo",$BB73="Moderado"),1,IF(AND(W73="Preventivo",$BB73="Fuerte"),1,0)))</f>
        <v>0</v>
      </c>
      <c r="BE73" s="477">
        <f>+N73-BC73</f>
        <v>2</v>
      </c>
      <c r="BF73" s="477">
        <f>+P73-BD73</f>
        <v>4</v>
      </c>
      <c r="BG73" s="459" t="str">
        <f>+VLOOKUP(MIN(BE73,BE74,BE75),[24]Listados!$J$18:$K$24,2,TRUE)</f>
        <v>Improbable</v>
      </c>
      <c r="BH73" s="459" t="str">
        <f>+VLOOKUP(MIN(BF73,BF74),[24]Listados!$J$26:$K$32,2,TRUE)</f>
        <v>Mayor</v>
      </c>
      <c r="BI73" s="459" t="str">
        <f>IF(AND(BG73&lt;&gt;"",BH73&lt;&gt;""),VLOOKUP(BG73&amp;BH73,[24]Listados!$M$3:$N$27,2,FALSE),"")</f>
        <v>Alto</v>
      </c>
      <c r="BJ73" s="469" t="s">
        <v>564</v>
      </c>
      <c r="BK73" s="484">
        <v>45323</v>
      </c>
      <c r="BL73" s="469" t="s">
        <v>496</v>
      </c>
      <c r="BM73" s="300" t="s">
        <v>552</v>
      </c>
    </row>
    <row r="74" spans="1:65" ht="127.5">
      <c r="A74" s="320"/>
      <c r="B74" s="469"/>
      <c r="C74" s="513"/>
      <c r="D74" s="372"/>
      <c r="E74" s="40" t="s">
        <v>181</v>
      </c>
      <c r="F74" s="452"/>
      <c r="G74" s="452"/>
      <c r="H74" s="471" t="s">
        <v>187</v>
      </c>
      <c r="I74" s="22" t="s">
        <v>202</v>
      </c>
      <c r="J74" s="471" t="s">
        <v>208</v>
      </c>
      <c r="K74" s="472" t="s">
        <v>17</v>
      </c>
      <c r="L74" s="23" t="s">
        <v>214</v>
      </c>
      <c r="M74" s="455"/>
      <c r="N74" s="456"/>
      <c r="O74" s="457"/>
      <c r="P74" s="456"/>
      <c r="Q74" s="459"/>
      <c r="R74" s="459"/>
      <c r="S74" s="460" t="s">
        <v>227</v>
      </c>
      <c r="T74" s="460" t="s">
        <v>241</v>
      </c>
      <c r="U74" s="512" t="s">
        <v>565</v>
      </c>
      <c r="V74" s="461" t="s">
        <v>208</v>
      </c>
      <c r="W74" s="479" t="s">
        <v>21</v>
      </c>
      <c r="X74" s="480" t="s">
        <v>119</v>
      </c>
      <c r="Y74" s="460">
        <f t="shared" si="100"/>
        <v>15</v>
      </c>
      <c r="Z74" s="480" t="s">
        <v>563</v>
      </c>
      <c r="AA74" s="460">
        <f t="shared" si="101"/>
        <v>15</v>
      </c>
      <c r="AB74" s="460" t="s">
        <v>563</v>
      </c>
      <c r="AC74" s="460">
        <f t="shared" si="102"/>
        <v>15</v>
      </c>
      <c r="AD74" s="460" t="s">
        <v>563</v>
      </c>
      <c r="AE74" s="460">
        <f t="shared" si="103"/>
        <v>15</v>
      </c>
      <c r="AF74" s="460" t="s">
        <v>563</v>
      </c>
      <c r="AG74" s="460">
        <f t="shared" si="104"/>
        <v>15</v>
      </c>
      <c r="AH74" s="460" t="s">
        <v>563</v>
      </c>
      <c r="AI74" s="460">
        <f t="shared" si="105"/>
        <v>15</v>
      </c>
      <c r="AJ74" s="460" t="s">
        <v>120</v>
      </c>
      <c r="AK74" s="462">
        <f t="shared" si="94"/>
        <v>10</v>
      </c>
      <c r="AL74" s="463">
        <f t="shared" si="97"/>
        <v>100</v>
      </c>
      <c r="AM74" s="463" t="str">
        <f t="shared" si="98"/>
        <v>Fuerte</v>
      </c>
      <c r="AN74" s="514" t="s">
        <v>353</v>
      </c>
      <c r="AO74" s="265">
        <f>IFERROR(VLOOKUP(AN74,'[24]Seguridad Información'!$C$61:$D$63,2,0),"")</f>
        <v>60</v>
      </c>
      <c r="AP74" s="465" t="s">
        <v>350</v>
      </c>
      <c r="AQ74" s="86">
        <f>IFERROR(VLOOKUP(AP74,'[24]Seguridad Información'!$E$61:$F$64,2,0),"")</f>
        <v>100</v>
      </c>
      <c r="AR74" s="485" t="s">
        <v>351</v>
      </c>
      <c r="AS74" s="86">
        <f>IFERROR(VLOOKUP(AR74,'[24]Seguridad Información'!$G$61:$H$64,2,0),"")</f>
        <v>100</v>
      </c>
      <c r="AT74" s="514" t="s">
        <v>352</v>
      </c>
      <c r="AU74" s="444">
        <f>IFERROR(VLOOKUP(AT74,'[24]Seguridad Información'!$I$61:$J$65,2,0),"")</f>
        <v>100</v>
      </c>
      <c r="AV74" s="444"/>
      <c r="AW74" s="475">
        <f t="shared" si="95"/>
        <v>90</v>
      </c>
      <c r="AX74" s="463" t="str">
        <f t="shared" si="96"/>
        <v>Moderado</v>
      </c>
      <c r="AY74" s="475" t="str">
        <f>IFERROR(VLOOKUP((CONCATENATE(AM74,AX74)),[24]Listados!$U$3:$V$11,2,FALSE),"")</f>
        <v>Moderado</v>
      </c>
      <c r="AZ74" s="463">
        <f t="shared" si="99"/>
        <v>50</v>
      </c>
      <c r="BA74" s="412"/>
      <c r="BB74" s="476"/>
      <c r="BC74" s="477">
        <f>+IF(AND(W74="Preventivo",BB73="Fuerte"),2,IF(AND(W74="Preventivo",BB73="Moderado"),1,0))</f>
        <v>0</v>
      </c>
      <c r="BD74" s="477">
        <f>+IF(AND(W74="Detectivo/Correctivo",$BB73="Fuerte"),2,IF(AND(W74="Detectivo/Correctivo",$BB74="Moderado"),1,IF(AND(W74="Preventivo",$BB73="Fuerte"),1,0)))</f>
        <v>0</v>
      </c>
      <c r="BE74" s="477">
        <f>+N73-BC74</f>
        <v>2</v>
      </c>
      <c r="BF74" s="477">
        <f>+P73-BD74</f>
        <v>4</v>
      </c>
      <c r="BG74" s="459"/>
      <c r="BH74" s="459"/>
      <c r="BI74" s="459"/>
      <c r="BJ74" s="469"/>
      <c r="BK74" s="469"/>
      <c r="BL74" s="469"/>
      <c r="BM74" s="300"/>
    </row>
    <row r="75" spans="1:65" ht="89.25">
      <c r="A75" s="320"/>
      <c r="B75" s="469"/>
      <c r="C75" s="513"/>
      <c r="D75" s="321"/>
      <c r="E75" s="40" t="s">
        <v>180</v>
      </c>
      <c r="F75" s="452"/>
      <c r="G75" s="452"/>
      <c r="H75" s="471" t="s">
        <v>189</v>
      </c>
      <c r="I75" s="22" t="s">
        <v>201</v>
      </c>
      <c r="J75" s="471" t="s">
        <v>559</v>
      </c>
      <c r="K75" s="472" t="s">
        <v>17</v>
      </c>
      <c r="L75" s="23" t="s">
        <v>217</v>
      </c>
      <c r="M75" s="455"/>
      <c r="N75" s="456"/>
      <c r="O75" s="457"/>
      <c r="P75" s="456"/>
      <c r="Q75" s="459"/>
      <c r="R75" s="459"/>
      <c r="S75" s="460" t="s">
        <v>226</v>
      </c>
      <c r="T75" s="460" t="s">
        <v>254</v>
      </c>
      <c r="U75" s="512" t="s">
        <v>566</v>
      </c>
      <c r="V75" s="461" t="s">
        <v>559</v>
      </c>
      <c r="W75" s="515" t="s">
        <v>21</v>
      </c>
      <c r="X75" s="480" t="s">
        <v>119</v>
      </c>
      <c r="Y75" s="460">
        <f t="shared" si="100"/>
        <v>15</v>
      </c>
      <c r="Z75" s="515" t="s">
        <v>119</v>
      </c>
      <c r="AA75" s="460">
        <f t="shared" si="101"/>
        <v>15</v>
      </c>
      <c r="AB75" s="460" t="s">
        <v>119</v>
      </c>
      <c r="AC75" s="460">
        <f t="shared" si="102"/>
        <v>15</v>
      </c>
      <c r="AD75" s="460" t="s">
        <v>119</v>
      </c>
      <c r="AE75" s="460">
        <f t="shared" si="103"/>
        <v>15</v>
      </c>
      <c r="AF75" s="460" t="s">
        <v>119</v>
      </c>
      <c r="AG75" s="460">
        <f t="shared" si="104"/>
        <v>15</v>
      </c>
      <c r="AH75" s="460" t="s">
        <v>119</v>
      </c>
      <c r="AI75" s="460">
        <f t="shared" si="105"/>
        <v>15</v>
      </c>
      <c r="AJ75" s="460" t="s">
        <v>120</v>
      </c>
      <c r="AK75" s="462">
        <f t="shared" si="94"/>
        <v>10</v>
      </c>
      <c r="AL75" s="463">
        <f t="shared" si="97"/>
        <v>100</v>
      </c>
      <c r="AM75" s="463" t="str">
        <f t="shared" si="98"/>
        <v>Fuerte</v>
      </c>
      <c r="AN75" s="514" t="s">
        <v>349</v>
      </c>
      <c r="AO75" s="265">
        <f>IFERROR(VLOOKUP(AN75,'[24]Seguridad Información'!$C$61:$D$63,2,0),"")</f>
        <v>100</v>
      </c>
      <c r="AP75" s="465" t="s">
        <v>350</v>
      </c>
      <c r="AQ75" s="86">
        <f>IFERROR(VLOOKUP(AP75,'[24]Seguridad Información'!$E$61:$F$64,2,0),"")</f>
        <v>100</v>
      </c>
      <c r="AR75" s="485" t="s">
        <v>355</v>
      </c>
      <c r="AS75" s="86">
        <f>IFERROR(VLOOKUP(AR75,'[24]Seguridad Información'!$G$61:$H$64,2,0),"")</f>
        <v>60</v>
      </c>
      <c r="AT75" s="514" t="s">
        <v>352</v>
      </c>
      <c r="AU75" s="444">
        <f>IFERROR(VLOOKUP(AT75,'[24]Seguridad Información'!$I$61:$J$65,2,0),"")</f>
        <v>100</v>
      </c>
      <c r="AV75" s="444"/>
      <c r="AW75" s="475">
        <f t="shared" si="95"/>
        <v>90</v>
      </c>
      <c r="AX75" s="463" t="str">
        <f t="shared" si="96"/>
        <v>Moderado</v>
      </c>
      <c r="AY75" s="475" t="str">
        <f>IFERROR(VLOOKUP((CONCATENATE(AM75,AX75)),[24]Listados!$U$3:$V$11,2,FALSE),"")</f>
        <v>Moderado</v>
      </c>
      <c r="AZ75" s="463">
        <f t="shared" si="99"/>
        <v>50</v>
      </c>
      <c r="BA75" s="413"/>
      <c r="BB75" s="476"/>
      <c r="BC75" s="477">
        <f>+IF(AND(W75="Preventivo",BB73="Fuerte"),2,IF(AND(W75="Preventivo",BB73="Moderado"),1,0))</f>
        <v>0</v>
      </c>
      <c r="BD75" s="477">
        <f>+IF(AND(W75="Detectivo/Correctivo",$BB73="Fuerte"),2,IF(AND(W75="Detectivo/Correctivo",$BB75="Moderado"),1,IF(AND(W75="Preventivo",$BB73="Fuerte"),1,0)))</f>
        <v>0</v>
      </c>
      <c r="BE75" s="477">
        <f>+N73-BC75</f>
        <v>2</v>
      </c>
      <c r="BF75" s="477">
        <f>+P73-BD75</f>
        <v>4</v>
      </c>
      <c r="BG75" s="459"/>
      <c r="BH75" s="459"/>
      <c r="BI75" s="459"/>
      <c r="BJ75" s="469"/>
      <c r="BK75" s="469"/>
      <c r="BL75" s="469"/>
      <c r="BM75" s="300"/>
    </row>
    <row r="76" spans="1:65" ht="102">
      <c r="A76" s="320">
        <v>5</v>
      </c>
      <c r="B76" s="469" t="s">
        <v>92</v>
      </c>
      <c r="C76" s="513" t="str">
        <f>IFERROR(VLOOKUP(B76,[24]Listados!B$3:C$20,2,FALSE),"")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76" s="357" t="s">
        <v>567</v>
      </c>
      <c r="E76" s="40" t="s">
        <v>182</v>
      </c>
      <c r="F76" s="452" t="s">
        <v>182</v>
      </c>
      <c r="G76" s="358" t="s">
        <v>199</v>
      </c>
      <c r="H76" s="471" t="s">
        <v>185</v>
      </c>
      <c r="I76" s="22" t="s">
        <v>203</v>
      </c>
      <c r="J76" s="471" t="s">
        <v>209</v>
      </c>
      <c r="K76" s="472" t="s">
        <v>17</v>
      </c>
      <c r="L76" s="23" t="s">
        <v>216</v>
      </c>
      <c r="M76" s="455" t="s">
        <v>32</v>
      </c>
      <c r="N76" s="456">
        <f>+VLOOKUP(M76,[24]Listados!$K$8:$L$12,2,0)</f>
        <v>2</v>
      </c>
      <c r="O76" s="457" t="s">
        <v>55</v>
      </c>
      <c r="P76" s="456">
        <f>+VLOOKUP(O76,[24]Listados!$K$13:$L$17,2,0)</f>
        <v>4</v>
      </c>
      <c r="Q76" s="459" t="str">
        <f>IF(AND(M76&lt;&gt;"",O76&lt;&gt;""),VLOOKUP(M76&amp;O76,[24]Listados!$M$3:$N$27,2,FALSE),"")</f>
        <v>Alto</v>
      </c>
      <c r="R76" s="459" t="str">
        <f>+VLOOKUP(Q76,[24]Listados!$P$3:$Q$6,2,FALSE)</f>
        <v>Reducir el riesgo</v>
      </c>
      <c r="S76" s="460" t="s">
        <v>228</v>
      </c>
      <c r="T76" s="460" t="s">
        <v>268</v>
      </c>
      <c r="U76" s="512" t="s">
        <v>568</v>
      </c>
      <c r="V76" s="493" t="s">
        <v>209</v>
      </c>
      <c r="W76" s="515" t="s">
        <v>21</v>
      </c>
      <c r="X76" s="515" t="s">
        <v>119</v>
      </c>
      <c r="Y76" s="460">
        <f t="shared" si="100"/>
        <v>15</v>
      </c>
      <c r="Z76" s="515" t="s">
        <v>119</v>
      </c>
      <c r="AA76" s="460">
        <f t="shared" si="101"/>
        <v>15</v>
      </c>
      <c r="AB76" s="460" t="s">
        <v>119</v>
      </c>
      <c r="AC76" s="460">
        <f t="shared" si="102"/>
        <v>15</v>
      </c>
      <c r="AD76" s="460" t="s">
        <v>119</v>
      </c>
      <c r="AE76" s="460">
        <f t="shared" si="103"/>
        <v>15</v>
      </c>
      <c r="AF76" s="460" t="s">
        <v>119</v>
      </c>
      <c r="AG76" s="460">
        <f t="shared" si="104"/>
        <v>15</v>
      </c>
      <c r="AH76" s="460" t="s">
        <v>119</v>
      </c>
      <c r="AI76" s="460">
        <f t="shared" si="105"/>
        <v>15</v>
      </c>
      <c r="AJ76" s="460" t="s">
        <v>120</v>
      </c>
      <c r="AK76" s="462">
        <f t="shared" si="94"/>
        <v>10</v>
      </c>
      <c r="AL76" s="463">
        <f t="shared" si="97"/>
        <v>100</v>
      </c>
      <c r="AM76" s="463" t="str">
        <f t="shared" si="98"/>
        <v>Fuerte</v>
      </c>
      <c r="AN76" s="514" t="s">
        <v>357</v>
      </c>
      <c r="AO76" s="265">
        <f>IFERROR(VLOOKUP(AN76,'[24]Seguridad Información'!$C$61:$D$63,2,0),"")</f>
        <v>20</v>
      </c>
      <c r="AP76" s="485" t="s">
        <v>350</v>
      </c>
      <c r="AQ76" s="86">
        <f>IFERROR(VLOOKUP(AP76,'[24]Seguridad Información'!$E$61:$F$64,2,0),"")</f>
        <v>100</v>
      </c>
      <c r="AR76" s="485" t="s">
        <v>355</v>
      </c>
      <c r="AS76" s="86">
        <f>IFERROR(VLOOKUP(AR76,'[24]Seguridad Información'!$G$61:$H$64,2,0),"")</f>
        <v>60</v>
      </c>
      <c r="AT76" s="514" t="s">
        <v>352</v>
      </c>
      <c r="AU76" s="444">
        <f>IFERROR(VLOOKUP(AT76,'[24]Seguridad Información'!$I$61:$J$65,2,0),"")</f>
        <v>100</v>
      </c>
      <c r="AV76" s="444"/>
      <c r="AW76" s="475">
        <f t="shared" si="95"/>
        <v>70</v>
      </c>
      <c r="AX76" s="463" t="str">
        <f t="shared" si="96"/>
        <v>Débil</v>
      </c>
      <c r="AY76" s="475" t="str">
        <f>IFERROR(VLOOKUP((CONCATENATE(AM76,AX76)),[24]Listados!$U$3:$V$11,2,FALSE),"")</f>
        <v>Débil</v>
      </c>
      <c r="AZ76" s="463">
        <f t="shared" si="99"/>
        <v>0</v>
      </c>
      <c r="BA76" s="476">
        <f>AVERAGE(AZ76:AZ78)</f>
        <v>16.666666666666668</v>
      </c>
      <c r="BB76" s="476" t="str">
        <f>IF(BA76&lt;=50, "Débil", IF(BA76&lt;=99,"Moderado","Fuerte"))</f>
        <v>Débil</v>
      </c>
      <c r="BC76" s="477">
        <f>+IF(AND(W76="Preventivo",BB76="Fuerte"),2,IF(AND(W76="Preventivo",BB76="Moderado"),1,0))</f>
        <v>0</v>
      </c>
      <c r="BD76" s="477">
        <f>+IF(AND(W76="Detectivo/Correctivo",$BB76="Fuerte"),2,IF(AND(W76="Detectivo/Correctivo",$BB76="Moderado"),1,IF(AND(W76="Preventivo",$BB76="Fuerte"),1,0)))</f>
        <v>0</v>
      </c>
      <c r="BE76" s="477">
        <f>+N76-BC76</f>
        <v>2</v>
      </c>
      <c r="BF76" s="477">
        <f>+P76-BD76</f>
        <v>4</v>
      </c>
      <c r="BG76" s="459" t="str">
        <f>+VLOOKUP(MIN(BE76,BE77,BE78),[24]Listados!$J$18:$K$24,2,TRUE)</f>
        <v>Improbable</v>
      </c>
      <c r="BH76" s="459" t="str">
        <f>+VLOOKUP(MIN(BF76,BF77,BF78),[24]Listados!$J$26:$K$32,2,TRUE)</f>
        <v>Mayor</v>
      </c>
      <c r="BI76" s="459" t="str">
        <f>IF(AND(BG76&lt;&gt;"",BH76&lt;&gt;""),VLOOKUP(BG76&amp;BH76,[24]Listados!$M$3:$N$27,2,FALSE),"")</f>
        <v>Alto</v>
      </c>
      <c r="BJ76" s="469" t="s">
        <v>569</v>
      </c>
      <c r="BK76" s="484">
        <v>45323</v>
      </c>
      <c r="BL76" s="469" t="s">
        <v>482</v>
      </c>
      <c r="BM76" s="300" t="s">
        <v>552</v>
      </c>
    </row>
    <row r="77" spans="1:65" ht="127.5">
      <c r="A77" s="320"/>
      <c r="B77" s="469"/>
      <c r="C77" s="513"/>
      <c r="D77" s="372"/>
      <c r="E77" s="40" t="s">
        <v>181</v>
      </c>
      <c r="F77" s="452"/>
      <c r="G77" s="452"/>
      <c r="H77" s="471" t="s">
        <v>187</v>
      </c>
      <c r="I77" s="22" t="s">
        <v>202</v>
      </c>
      <c r="J77" s="471" t="s">
        <v>208</v>
      </c>
      <c r="K77" s="472" t="s">
        <v>17</v>
      </c>
      <c r="L77" s="23" t="s">
        <v>215</v>
      </c>
      <c r="M77" s="455"/>
      <c r="N77" s="456"/>
      <c r="O77" s="457"/>
      <c r="P77" s="456"/>
      <c r="Q77" s="459"/>
      <c r="R77" s="459"/>
      <c r="S77" s="460" t="s">
        <v>227</v>
      </c>
      <c r="T77" s="460" t="s">
        <v>279</v>
      </c>
      <c r="U77" s="512" t="s">
        <v>570</v>
      </c>
      <c r="V77" s="471" t="s">
        <v>208</v>
      </c>
      <c r="W77" s="515" t="s">
        <v>21</v>
      </c>
      <c r="X77" s="515" t="s">
        <v>119</v>
      </c>
      <c r="Y77" s="460">
        <f t="shared" si="100"/>
        <v>15</v>
      </c>
      <c r="Z77" s="515" t="s">
        <v>119</v>
      </c>
      <c r="AA77" s="460">
        <f t="shared" si="101"/>
        <v>15</v>
      </c>
      <c r="AB77" s="460" t="s">
        <v>119</v>
      </c>
      <c r="AC77" s="460">
        <f t="shared" si="102"/>
        <v>15</v>
      </c>
      <c r="AD77" s="460" t="s">
        <v>119</v>
      </c>
      <c r="AE77" s="460">
        <f t="shared" si="103"/>
        <v>15</v>
      </c>
      <c r="AF77" s="460" t="s">
        <v>119</v>
      </c>
      <c r="AG77" s="460">
        <f t="shared" si="104"/>
        <v>15</v>
      </c>
      <c r="AH77" s="460" t="s">
        <v>119</v>
      </c>
      <c r="AI77" s="460">
        <f t="shared" si="105"/>
        <v>15</v>
      </c>
      <c r="AJ77" s="460" t="s">
        <v>120</v>
      </c>
      <c r="AK77" s="462">
        <f t="shared" si="94"/>
        <v>10</v>
      </c>
      <c r="AL77" s="463">
        <f t="shared" si="97"/>
        <v>100</v>
      </c>
      <c r="AM77" s="463" t="str">
        <f t="shared" si="98"/>
        <v>Fuerte</v>
      </c>
      <c r="AN77" s="514" t="s">
        <v>357</v>
      </c>
      <c r="AO77" s="265">
        <f>IFERROR(VLOOKUP(AN77,'[24]Seguridad Información'!$C$61:$D$63,2,0),"")</f>
        <v>20</v>
      </c>
      <c r="AP77" s="485" t="s">
        <v>350</v>
      </c>
      <c r="AQ77" s="86">
        <f>IFERROR(VLOOKUP(AP77,'[24]Seguridad Información'!$E$61:$F$64,2,0),"")</f>
        <v>100</v>
      </c>
      <c r="AR77" s="485" t="s">
        <v>355</v>
      </c>
      <c r="AS77" s="86">
        <f>IFERROR(VLOOKUP(AR77,'[24]Seguridad Información'!$G$61:$H$64,2,0),"")</f>
        <v>60</v>
      </c>
      <c r="AT77" s="514" t="s">
        <v>352</v>
      </c>
      <c r="AU77" s="444">
        <f>IFERROR(VLOOKUP(AT77,'[24]Seguridad Información'!$I$61:$J$65,2,0),"")</f>
        <v>100</v>
      </c>
      <c r="AV77" s="444"/>
      <c r="AW77" s="475">
        <f t="shared" si="95"/>
        <v>70</v>
      </c>
      <c r="AX77" s="463" t="str">
        <f t="shared" si="96"/>
        <v>Débil</v>
      </c>
      <c r="AY77" s="475" t="str">
        <f>IFERROR(VLOOKUP((CONCATENATE(AM77,AX77)),[24]Listados!$U$3:$V$11,2,FALSE),"")</f>
        <v>Débil</v>
      </c>
      <c r="AZ77" s="463">
        <f t="shared" si="99"/>
        <v>0</v>
      </c>
      <c r="BA77" s="476"/>
      <c r="BB77" s="476"/>
      <c r="BC77" s="477">
        <f>+IF(AND(W77="Preventivo",BB76="Fuerte"),2,IF(AND(W77="Preventivo",BB76="Moderado"),1,0))</f>
        <v>0</v>
      </c>
      <c r="BD77" s="477">
        <f>+IF(AND(W77="Detectivo/Correctivo",$BB76="Fuerte"),2,IF(AND(W77="Detectivo/Correctivo",$BB77="Moderado"),1,IF(AND(W77="Preventivo",$BB76="Fuerte"),1,0)))</f>
        <v>0</v>
      </c>
      <c r="BE77" s="477">
        <f>+N76-BC77</f>
        <v>2</v>
      </c>
      <c r="BF77" s="477">
        <f>+P76-BD77</f>
        <v>4</v>
      </c>
      <c r="BG77" s="459"/>
      <c r="BH77" s="459"/>
      <c r="BI77" s="459"/>
      <c r="BJ77" s="469"/>
      <c r="BK77" s="469"/>
      <c r="BL77" s="469"/>
      <c r="BM77" s="300"/>
    </row>
    <row r="78" spans="1:65" ht="102">
      <c r="A78" s="320"/>
      <c r="B78" s="469"/>
      <c r="C78" s="513"/>
      <c r="D78" s="321"/>
      <c r="E78" s="40" t="s">
        <v>180</v>
      </c>
      <c r="F78" s="452"/>
      <c r="G78" s="452"/>
      <c r="H78" s="471" t="s">
        <v>186</v>
      </c>
      <c r="I78" s="22" t="s">
        <v>201</v>
      </c>
      <c r="J78" s="471" t="s">
        <v>210</v>
      </c>
      <c r="K78" s="472" t="s">
        <v>17</v>
      </c>
      <c r="L78" s="23" t="s">
        <v>217</v>
      </c>
      <c r="M78" s="455"/>
      <c r="N78" s="456"/>
      <c r="O78" s="457"/>
      <c r="P78" s="456"/>
      <c r="Q78" s="459"/>
      <c r="R78" s="459"/>
      <c r="S78" s="460" t="s">
        <v>222</v>
      </c>
      <c r="T78" s="460" t="s">
        <v>275</v>
      </c>
      <c r="U78" s="512" t="s">
        <v>571</v>
      </c>
      <c r="V78" s="516" t="s">
        <v>186</v>
      </c>
      <c r="W78" s="515" t="s">
        <v>21</v>
      </c>
      <c r="X78" s="515" t="s">
        <v>119</v>
      </c>
      <c r="Y78" s="460">
        <f t="shared" si="100"/>
        <v>15</v>
      </c>
      <c r="Z78" s="515" t="s">
        <v>119</v>
      </c>
      <c r="AA78" s="460">
        <f t="shared" si="101"/>
        <v>15</v>
      </c>
      <c r="AB78" s="460" t="s">
        <v>119</v>
      </c>
      <c r="AC78" s="460">
        <f t="shared" si="102"/>
        <v>15</v>
      </c>
      <c r="AD78" s="460" t="s">
        <v>119</v>
      </c>
      <c r="AE78" s="460">
        <f t="shared" si="103"/>
        <v>15</v>
      </c>
      <c r="AF78" s="460" t="s">
        <v>119</v>
      </c>
      <c r="AG78" s="460">
        <f t="shared" si="104"/>
        <v>15</v>
      </c>
      <c r="AH78" s="460" t="s">
        <v>119</v>
      </c>
      <c r="AI78" s="460">
        <f t="shared" si="105"/>
        <v>15</v>
      </c>
      <c r="AJ78" s="460" t="s">
        <v>120</v>
      </c>
      <c r="AK78" s="462">
        <f t="shared" si="94"/>
        <v>10</v>
      </c>
      <c r="AL78" s="463">
        <f t="shared" si="97"/>
        <v>100</v>
      </c>
      <c r="AM78" s="463" t="str">
        <f t="shared" si="98"/>
        <v>Fuerte</v>
      </c>
      <c r="AN78" s="514" t="s">
        <v>349</v>
      </c>
      <c r="AO78" s="265">
        <f>IFERROR(VLOOKUP(AN78,'[24]Seguridad Información'!$C$61:$D$63,2,0),"")</f>
        <v>100</v>
      </c>
      <c r="AP78" s="485" t="s">
        <v>350</v>
      </c>
      <c r="AQ78" s="86">
        <f>IFERROR(VLOOKUP(AP78,'[24]Seguridad Información'!$E$61:$F$64,2,0),"")</f>
        <v>100</v>
      </c>
      <c r="AR78" s="485" t="s">
        <v>355</v>
      </c>
      <c r="AS78" s="86">
        <f>IFERROR(VLOOKUP(AR78,'[24]Seguridad Información'!$G$61:$H$64,2,0),"")</f>
        <v>60</v>
      </c>
      <c r="AT78" s="514" t="s">
        <v>352</v>
      </c>
      <c r="AU78" s="444">
        <f>IFERROR(VLOOKUP(AT78,'[24]Seguridad Información'!$I$61:$J$65,2,0),"")</f>
        <v>100</v>
      </c>
      <c r="AV78" s="444"/>
      <c r="AW78" s="475">
        <f t="shared" si="95"/>
        <v>90</v>
      </c>
      <c r="AX78" s="463" t="str">
        <f t="shared" si="96"/>
        <v>Moderado</v>
      </c>
      <c r="AY78" s="475" t="str">
        <f>IFERROR(VLOOKUP((CONCATENATE(AM78,AX78)),[24]Listados!$U$3:$V$11,2,FALSE),"")</f>
        <v>Moderado</v>
      </c>
      <c r="AZ78" s="463">
        <f t="shared" si="99"/>
        <v>50</v>
      </c>
      <c r="BA78" s="476"/>
      <c r="BB78" s="476"/>
      <c r="BC78" s="477">
        <f>+IF(AND(W78="Preventivo",BB76="Fuerte"),2,IF(AND(W78="Preventivo",BB76="Moderado"),1,0))</f>
        <v>0</v>
      </c>
      <c r="BD78" s="477">
        <f>+IF(AND(W78="Detectivo/Correctivo",$BB76="Fuerte"),2,IF(AND(W78="Detectivo/Correctivo",$BB78="Moderado"),1,IF(AND(W78="Preventivo",$BB76="Fuerte"),1,0)))</f>
        <v>0</v>
      </c>
      <c r="BE78" s="477">
        <f>+N76-BC78</f>
        <v>2</v>
      </c>
      <c r="BF78" s="477">
        <f>+P76-BD78</f>
        <v>4</v>
      </c>
      <c r="BG78" s="459"/>
      <c r="BH78" s="459"/>
      <c r="BI78" s="459"/>
      <c r="BJ78" s="469"/>
      <c r="BK78" s="469"/>
      <c r="BL78" s="469"/>
      <c r="BM78" s="300"/>
    </row>
    <row r="79" spans="1:65" ht="76.5">
      <c r="A79" s="320">
        <v>6</v>
      </c>
      <c r="B79" s="469" t="s">
        <v>92</v>
      </c>
      <c r="C79" s="513" t="str">
        <f>IFERROR(VLOOKUP(B79,[24]Listados!B$3:C$20,2,FALSE),"")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79" s="357" t="s">
        <v>572</v>
      </c>
      <c r="E79" s="40" t="s">
        <v>182</v>
      </c>
      <c r="F79" s="452" t="s">
        <v>182</v>
      </c>
      <c r="G79" s="358" t="s">
        <v>199</v>
      </c>
      <c r="H79" s="471" t="s">
        <v>185</v>
      </c>
      <c r="I79" s="22" t="s">
        <v>203</v>
      </c>
      <c r="J79" s="471" t="s">
        <v>206</v>
      </c>
      <c r="K79" s="472" t="s">
        <v>17</v>
      </c>
      <c r="L79" s="23" t="s">
        <v>215</v>
      </c>
      <c r="M79" s="455" t="s">
        <v>22</v>
      </c>
      <c r="N79" s="456">
        <f>+VLOOKUP(M79,[24]Listados!$K$8:$L$12,2,0)</f>
        <v>1</v>
      </c>
      <c r="O79" s="457" t="s">
        <v>37</v>
      </c>
      <c r="P79" s="456">
        <f>+VLOOKUP(O79,[24]Listados!$K$13:$L$17,2,0)</f>
        <v>3</v>
      </c>
      <c r="Q79" s="459" t="str">
        <f>IF(AND(M79&lt;&gt;"",O79&lt;&gt;""),VLOOKUP(M79&amp;O79,[24]Listados!$M$3:$N$27,2,FALSE),"")</f>
        <v>Moderado</v>
      </c>
      <c r="R79" s="459" t="str">
        <f>+VLOOKUP(Q79,[24]Listados!$P$3:$Q$6,2,FALSE)</f>
        <v xml:space="preserve"> Reducir el riesgo</v>
      </c>
      <c r="S79" s="460" t="s">
        <v>225</v>
      </c>
      <c r="T79" s="460" t="s">
        <v>300</v>
      </c>
      <c r="U79" s="512" t="s">
        <v>573</v>
      </c>
      <c r="V79" s="515" t="s">
        <v>185</v>
      </c>
      <c r="W79" s="515" t="s">
        <v>21</v>
      </c>
      <c r="X79" s="515" t="s">
        <v>119</v>
      </c>
      <c r="Y79" s="460">
        <f t="shared" si="100"/>
        <v>15</v>
      </c>
      <c r="Z79" s="515" t="s">
        <v>119</v>
      </c>
      <c r="AA79" s="460">
        <f t="shared" si="101"/>
        <v>15</v>
      </c>
      <c r="AB79" s="460" t="s">
        <v>119</v>
      </c>
      <c r="AC79" s="460">
        <f t="shared" si="102"/>
        <v>15</v>
      </c>
      <c r="AD79" s="460" t="s">
        <v>119</v>
      </c>
      <c r="AE79" s="460">
        <f t="shared" si="103"/>
        <v>15</v>
      </c>
      <c r="AF79" s="460" t="s">
        <v>119</v>
      </c>
      <c r="AG79" s="460">
        <f t="shared" si="104"/>
        <v>15</v>
      </c>
      <c r="AH79" s="460" t="s">
        <v>119</v>
      </c>
      <c r="AI79" s="460">
        <f t="shared" si="105"/>
        <v>15</v>
      </c>
      <c r="AJ79" s="460" t="s">
        <v>120</v>
      </c>
      <c r="AK79" s="462">
        <f t="shared" si="94"/>
        <v>10</v>
      </c>
      <c r="AL79" s="463">
        <f t="shared" si="97"/>
        <v>100</v>
      </c>
      <c r="AM79" s="463" t="str">
        <f t="shared" si="98"/>
        <v>Fuerte</v>
      </c>
      <c r="AN79" s="514" t="s">
        <v>349</v>
      </c>
      <c r="AO79" s="265">
        <f>IFERROR(VLOOKUP(AN79,'[24]Seguridad Información'!$C$61:$D$63,2,0),"")</f>
        <v>100</v>
      </c>
      <c r="AP79" s="485" t="s">
        <v>350</v>
      </c>
      <c r="AQ79" s="86">
        <f>IFERROR(VLOOKUP(AP79,'[24]Seguridad Información'!$E$61:$F$64,2,0),"")</f>
        <v>100</v>
      </c>
      <c r="AR79" s="485" t="s">
        <v>355</v>
      </c>
      <c r="AS79" s="86">
        <f>IFERROR(VLOOKUP(AR79,'[24]Seguridad Información'!$G$61:$H$64,2,0),"")</f>
        <v>60</v>
      </c>
      <c r="AT79" s="514" t="s">
        <v>352</v>
      </c>
      <c r="AU79" s="444">
        <f>IFERROR(VLOOKUP(AT79,'[24]Seguridad Información'!$I$61:$J$65,2,0),"")</f>
        <v>100</v>
      </c>
      <c r="AV79" s="444"/>
      <c r="AW79" s="475">
        <f t="shared" si="95"/>
        <v>90</v>
      </c>
      <c r="AX79" s="463" t="str">
        <f t="shared" si="96"/>
        <v>Moderado</v>
      </c>
      <c r="AY79" s="475" t="str">
        <f>IFERROR(VLOOKUP((CONCATENATE(AM79,AX79)),[24]Listados!$U$3:$V$11,2,FALSE),"")</f>
        <v>Moderado</v>
      </c>
      <c r="AZ79" s="463">
        <f t="shared" si="99"/>
        <v>50</v>
      </c>
      <c r="BA79" s="476">
        <f>AVERAGE(AZ79:AZ81)</f>
        <v>50</v>
      </c>
      <c r="BB79" s="476" t="str">
        <f>IF(BA79&lt;=50, "Débil", IF(BA79&lt;=99,"Moderado","Fuerte"))</f>
        <v>Débil</v>
      </c>
      <c r="BC79" s="477">
        <f>+IF(AND(W79="Preventivo",BB79="Fuerte"),2,IF(AND(W79="Preventivo",BB79="Moderado"),1,0))</f>
        <v>0</v>
      </c>
      <c r="BD79" s="477">
        <f>+IF(AND(W79="Detectivo/Correctivo",$BB79="Fuerte"),2,IF(AND(W79="Detectivo/Correctivo",$BB79="Moderado"),1,IF(AND(W79="Preventivo",$BB79="Fuerte"),1,0)))</f>
        <v>0</v>
      </c>
      <c r="BE79" s="477">
        <f>+N79-BC79</f>
        <v>1</v>
      </c>
      <c r="BF79" s="477">
        <f>+P79-BD79</f>
        <v>3</v>
      </c>
      <c r="BG79" s="459" t="str">
        <f>+VLOOKUP(MIN(BE79,BE80,BE81),[24]Listados!$J$18:$K$24,2,TRUE)</f>
        <v>Rara Vez</v>
      </c>
      <c r="BH79" s="459" t="str">
        <f>+VLOOKUP(MIN(BF79,BF80,BF81),[24]Listados!$J$26:$K$32,2,TRUE)</f>
        <v>Moderado</v>
      </c>
      <c r="BI79" s="459" t="str">
        <f>IF(AND(BG79&lt;&gt;"",BH79&lt;&gt;""),VLOOKUP(BG79&amp;BH79,[24]Listados!$M$3:$N$27,2,FALSE),"")</f>
        <v>Moderado</v>
      </c>
      <c r="BJ79" s="469" t="s">
        <v>574</v>
      </c>
      <c r="BK79" s="484">
        <v>45323</v>
      </c>
      <c r="BL79" s="469" t="s">
        <v>496</v>
      </c>
      <c r="BM79" s="300" t="s">
        <v>552</v>
      </c>
    </row>
    <row r="80" spans="1:65" ht="102">
      <c r="A80" s="320"/>
      <c r="B80" s="469"/>
      <c r="C80" s="513"/>
      <c r="D80" s="372"/>
      <c r="E80" s="40" t="s">
        <v>181</v>
      </c>
      <c r="F80" s="452"/>
      <c r="G80" s="452"/>
      <c r="H80" s="471" t="s">
        <v>187</v>
      </c>
      <c r="I80" s="22" t="s">
        <v>202</v>
      </c>
      <c r="J80" s="471" t="s">
        <v>208</v>
      </c>
      <c r="K80" s="472" t="s">
        <v>17</v>
      </c>
      <c r="L80" s="23" t="s">
        <v>215</v>
      </c>
      <c r="M80" s="455"/>
      <c r="N80" s="456"/>
      <c r="O80" s="457"/>
      <c r="P80" s="456"/>
      <c r="Q80" s="459"/>
      <c r="R80" s="459"/>
      <c r="S80" s="460" t="s">
        <v>225</v>
      </c>
      <c r="T80" s="460" t="s">
        <v>239</v>
      </c>
      <c r="U80" s="512" t="s">
        <v>575</v>
      </c>
      <c r="V80" s="515" t="s">
        <v>185</v>
      </c>
      <c r="W80" s="515" t="s">
        <v>21</v>
      </c>
      <c r="X80" s="515" t="s">
        <v>119</v>
      </c>
      <c r="Y80" s="460">
        <f t="shared" si="100"/>
        <v>15</v>
      </c>
      <c r="Z80" s="515" t="s">
        <v>119</v>
      </c>
      <c r="AA80" s="460">
        <f t="shared" si="101"/>
        <v>15</v>
      </c>
      <c r="AB80" s="460" t="s">
        <v>119</v>
      </c>
      <c r="AC80" s="460">
        <f t="shared" si="102"/>
        <v>15</v>
      </c>
      <c r="AD80" s="460" t="s">
        <v>119</v>
      </c>
      <c r="AE80" s="460">
        <f t="shared" si="103"/>
        <v>15</v>
      </c>
      <c r="AF80" s="460" t="s">
        <v>119</v>
      </c>
      <c r="AG80" s="460">
        <f t="shared" si="104"/>
        <v>15</v>
      </c>
      <c r="AH80" s="460" t="s">
        <v>119</v>
      </c>
      <c r="AI80" s="460">
        <f t="shared" si="105"/>
        <v>15</v>
      </c>
      <c r="AJ80" s="460" t="s">
        <v>120</v>
      </c>
      <c r="AK80" s="462">
        <f t="shared" si="94"/>
        <v>10</v>
      </c>
      <c r="AL80" s="463">
        <f t="shared" si="97"/>
        <v>100</v>
      </c>
      <c r="AM80" s="463" t="str">
        <f t="shared" si="98"/>
        <v>Fuerte</v>
      </c>
      <c r="AN80" s="514" t="s">
        <v>349</v>
      </c>
      <c r="AO80" s="265">
        <f>IFERROR(VLOOKUP(AN80,'[24]Seguridad Información'!$C$61:$D$63,2,0),"")</f>
        <v>100</v>
      </c>
      <c r="AP80" s="485" t="s">
        <v>350</v>
      </c>
      <c r="AQ80" s="86">
        <f>IFERROR(VLOOKUP(AP80,'[24]Seguridad Información'!$E$61:$F$64,2,0),"")</f>
        <v>100</v>
      </c>
      <c r="AR80" s="485" t="s">
        <v>355</v>
      </c>
      <c r="AS80" s="86">
        <f>IFERROR(VLOOKUP(AR80,'[24]Seguridad Información'!$G$61:$H$64,2,0),"")</f>
        <v>60</v>
      </c>
      <c r="AT80" s="514" t="s">
        <v>352</v>
      </c>
      <c r="AU80" s="444">
        <f>IFERROR(VLOOKUP(AT80,'[24]Seguridad Información'!$I$61:$J$65,2,0),"")</f>
        <v>100</v>
      </c>
      <c r="AV80" s="444"/>
      <c r="AW80" s="475">
        <f t="shared" si="95"/>
        <v>90</v>
      </c>
      <c r="AX80" s="463" t="str">
        <f t="shared" si="96"/>
        <v>Moderado</v>
      </c>
      <c r="AY80" s="475" t="str">
        <f>IFERROR(VLOOKUP((CONCATENATE(AM80,AX80)),[24]Listados!$U$3:$V$11,2,FALSE),"")</f>
        <v>Moderado</v>
      </c>
      <c r="AZ80" s="463">
        <f t="shared" si="99"/>
        <v>50</v>
      </c>
      <c r="BA80" s="476"/>
      <c r="BB80" s="476"/>
      <c r="BC80" s="477">
        <f>+IF(AND(W80="Preventivo",BB79="Fuerte"),2,IF(AND(W80="Preventivo",BB79="Moderado"),1,0))</f>
        <v>0</v>
      </c>
      <c r="BD80" s="477">
        <f>+IF(AND(W80="Detectivo/Correctivo",$BB79="Fuerte"),2,IF(AND(W80="Detectivo/Correctivo",$BB80="Moderado"),1,IF(AND(W80="Preventivo",$BB79="Fuerte"),1,0)))</f>
        <v>0</v>
      </c>
      <c r="BE80" s="477">
        <f>+N79-BC80</f>
        <v>1</v>
      </c>
      <c r="BF80" s="477">
        <f>+P79-BD80</f>
        <v>3</v>
      </c>
      <c r="BG80" s="459"/>
      <c r="BH80" s="459"/>
      <c r="BI80" s="459"/>
      <c r="BJ80" s="469"/>
      <c r="BK80" s="469"/>
      <c r="BL80" s="469"/>
      <c r="BM80" s="300"/>
    </row>
    <row r="81" spans="1:65" ht="76.5">
      <c r="A81" s="320"/>
      <c r="B81" s="469"/>
      <c r="C81" s="513"/>
      <c r="D81" s="321"/>
      <c r="E81" s="40" t="s">
        <v>180</v>
      </c>
      <c r="F81" s="452"/>
      <c r="G81" s="452"/>
      <c r="H81" s="471" t="s">
        <v>186</v>
      </c>
      <c r="I81" s="22" t="s">
        <v>201</v>
      </c>
      <c r="J81" s="471" t="s">
        <v>559</v>
      </c>
      <c r="K81" s="472" t="s">
        <v>17</v>
      </c>
      <c r="L81" s="23" t="s">
        <v>217</v>
      </c>
      <c r="M81" s="455"/>
      <c r="N81" s="456"/>
      <c r="O81" s="457"/>
      <c r="P81" s="456"/>
      <c r="Q81" s="459"/>
      <c r="R81" s="459"/>
      <c r="S81" s="460" t="s">
        <v>222</v>
      </c>
      <c r="T81" s="460" t="s">
        <v>287</v>
      </c>
      <c r="U81" s="512" t="s">
        <v>576</v>
      </c>
      <c r="V81" s="493" t="s">
        <v>559</v>
      </c>
      <c r="W81" s="515" t="s">
        <v>21</v>
      </c>
      <c r="X81" s="515" t="s">
        <v>119</v>
      </c>
      <c r="Y81" s="460">
        <f t="shared" si="100"/>
        <v>15</v>
      </c>
      <c r="Z81" s="515" t="s">
        <v>119</v>
      </c>
      <c r="AA81" s="460">
        <f t="shared" si="101"/>
        <v>15</v>
      </c>
      <c r="AB81" s="460" t="s">
        <v>119</v>
      </c>
      <c r="AC81" s="460">
        <f t="shared" si="102"/>
        <v>15</v>
      </c>
      <c r="AD81" s="460" t="s">
        <v>119</v>
      </c>
      <c r="AE81" s="460">
        <f t="shared" si="103"/>
        <v>15</v>
      </c>
      <c r="AF81" s="460" t="s">
        <v>119</v>
      </c>
      <c r="AG81" s="460">
        <f t="shared" si="104"/>
        <v>15</v>
      </c>
      <c r="AH81" s="460" t="s">
        <v>119</v>
      </c>
      <c r="AI81" s="460">
        <f t="shared" si="105"/>
        <v>15</v>
      </c>
      <c r="AJ81" s="460" t="s">
        <v>120</v>
      </c>
      <c r="AK81" s="462">
        <f t="shared" si="94"/>
        <v>10</v>
      </c>
      <c r="AL81" s="463">
        <f t="shared" si="97"/>
        <v>100</v>
      </c>
      <c r="AM81" s="463" t="str">
        <f t="shared" si="98"/>
        <v>Fuerte</v>
      </c>
      <c r="AN81" s="514" t="s">
        <v>349</v>
      </c>
      <c r="AO81" s="265">
        <f>IFERROR(VLOOKUP(AN81,'[24]Seguridad Información'!$C$61:$D$63,2,0),"")</f>
        <v>100</v>
      </c>
      <c r="AP81" s="485" t="s">
        <v>350</v>
      </c>
      <c r="AQ81" s="86">
        <f>IFERROR(VLOOKUP(AP81,'[24]Seguridad Información'!$E$61:$F$64,2,0),"")</f>
        <v>100</v>
      </c>
      <c r="AR81" s="485" t="s">
        <v>355</v>
      </c>
      <c r="AS81" s="86">
        <f>IFERROR(VLOOKUP(AR81,'[24]Seguridad Información'!$G$61:$H$64,2,0),"")</f>
        <v>60</v>
      </c>
      <c r="AT81" s="514" t="s">
        <v>352</v>
      </c>
      <c r="AU81" s="444">
        <f>IFERROR(VLOOKUP(AT81,'[24]Seguridad Información'!$I$61:$J$65,2,0),"")</f>
        <v>100</v>
      </c>
      <c r="AV81" s="444"/>
      <c r="AW81" s="475">
        <f t="shared" si="95"/>
        <v>90</v>
      </c>
      <c r="AX81" s="463" t="str">
        <f t="shared" si="96"/>
        <v>Moderado</v>
      </c>
      <c r="AY81" s="475" t="str">
        <f>IFERROR(VLOOKUP((CONCATENATE(AM81,AX81)),[24]Listados!$U$3:$V$11,2,FALSE),"")</f>
        <v>Moderado</v>
      </c>
      <c r="AZ81" s="463">
        <f t="shared" si="99"/>
        <v>50</v>
      </c>
      <c r="BA81" s="476"/>
      <c r="BB81" s="476"/>
      <c r="BC81" s="477">
        <f>+IF(AND(W81="Preventivo",BB79="Fuerte"),2,IF(AND(W81="Preventivo",BB79="Moderado"),1,0))</f>
        <v>0</v>
      </c>
      <c r="BD81" s="477">
        <f>+IF(AND(W81="Detectivo/Correctivo",$BB79="Fuerte"),2,IF(AND(W81="Detectivo/Correctivo",$BB81="Moderado"),1,IF(AND(W81="Preventivo",$BB79="Fuerte"),1,0)))</f>
        <v>0</v>
      </c>
      <c r="BE81" s="477">
        <f>+N79-BC81</f>
        <v>1</v>
      </c>
      <c r="BF81" s="477">
        <f>+P79-BD81</f>
        <v>3</v>
      </c>
      <c r="BG81" s="459"/>
      <c r="BH81" s="459"/>
      <c r="BI81" s="459"/>
      <c r="BJ81" s="469"/>
      <c r="BK81" s="469"/>
      <c r="BL81" s="469"/>
      <c r="BM81" s="300"/>
    </row>
    <row r="82" spans="1:65" ht="114.75">
      <c r="A82" s="320">
        <v>7</v>
      </c>
      <c r="B82" s="469" t="s">
        <v>92</v>
      </c>
      <c r="C82" s="513" t="str">
        <f>IFERROR(VLOOKUP(B82,[24]Listados!B$3:C$20,2,FALSE),"")</f>
        <v>Gestionar y administrar los recursos y servicios (humanos, técnicos y tecnológicos) dispuestos por el Ministerio de 
Justicia y del Derecho, de manera integral, transparente y oportuna, incorporando los aspectos de eficiencia, calidad, usabilidad y escalabilidad, que permitan garantizar la prestación de los servicios de tecnología y suministro de información, con óptimos estándares de calidad, a los usuarios y grupos de interés de la entidad, así como, el fortalecimiento de la gestión estratégica, misional, operativa y administrativa del ministerio.</v>
      </c>
      <c r="D82" s="373" t="s">
        <v>577</v>
      </c>
      <c r="E82" s="40" t="s">
        <v>182</v>
      </c>
      <c r="F82" s="452" t="s">
        <v>182</v>
      </c>
      <c r="G82" s="358" t="s">
        <v>199</v>
      </c>
      <c r="H82" s="471" t="s">
        <v>185</v>
      </c>
      <c r="I82" s="22" t="s">
        <v>203</v>
      </c>
      <c r="J82" s="471" t="s">
        <v>206</v>
      </c>
      <c r="K82" s="472" t="s">
        <v>17</v>
      </c>
      <c r="L82" s="23" t="s">
        <v>216</v>
      </c>
      <c r="M82" s="455" t="s">
        <v>22</v>
      </c>
      <c r="N82" s="456">
        <f>+VLOOKUP(M82,[24]Listados!$K$8:$L$12,2,0)</f>
        <v>1</v>
      </c>
      <c r="O82" s="457" t="s">
        <v>33</v>
      </c>
      <c r="P82" s="456">
        <f>+VLOOKUP(O82,[24]Listados!$K$13:$L$17,2,0)</f>
        <v>2</v>
      </c>
      <c r="Q82" s="459" t="str">
        <f>IF(AND(M82&lt;&gt;"",O82&lt;&gt;""),VLOOKUP(M82&amp;O82,[24]Listados!$M$3:$N$27,2,FALSE),"")</f>
        <v>Bajo</v>
      </c>
      <c r="R82" s="459" t="str">
        <f>+VLOOKUP(Q82,[24]Listados!$P$3:$Q$6,2,FALSE)</f>
        <v>Asumir el riesgo</v>
      </c>
      <c r="S82" s="460" t="s">
        <v>224</v>
      </c>
      <c r="T82" s="460" t="s">
        <v>326</v>
      </c>
      <c r="U82" s="512" t="s">
        <v>578</v>
      </c>
      <c r="V82" s="473" t="s">
        <v>184</v>
      </c>
      <c r="W82" s="515" t="s">
        <v>21</v>
      </c>
      <c r="X82" s="515" t="s">
        <v>119</v>
      </c>
      <c r="Y82" s="460">
        <f t="shared" si="100"/>
        <v>15</v>
      </c>
      <c r="Z82" s="515" t="s">
        <v>119</v>
      </c>
      <c r="AA82" s="460">
        <f t="shared" si="101"/>
        <v>15</v>
      </c>
      <c r="AB82" s="460" t="s">
        <v>119</v>
      </c>
      <c r="AC82" s="460">
        <f t="shared" si="102"/>
        <v>15</v>
      </c>
      <c r="AD82" s="460" t="s">
        <v>119</v>
      </c>
      <c r="AE82" s="460">
        <f t="shared" si="103"/>
        <v>15</v>
      </c>
      <c r="AF82" s="460" t="s">
        <v>119</v>
      </c>
      <c r="AG82" s="460">
        <f t="shared" si="104"/>
        <v>15</v>
      </c>
      <c r="AH82" s="460" t="s">
        <v>119</v>
      </c>
      <c r="AI82" s="460">
        <f t="shared" si="105"/>
        <v>15</v>
      </c>
      <c r="AJ82" s="460" t="s">
        <v>120</v>
      </c>
      <c r="AK82" s="462">
        <f t="shared" si="94"/>
        <v>10</v>
      </c>
      <c r="AL82" s="463">
        <f t="shared" si="97"/>
        <v>100</v>
      </c>
      <c r="AM82" s="463" t="str">
        <f t="shared" si="98"/>
        <v>Fuerte</v>
      </c>
      <c r="AN82" s="514" t="s">
        <v>357</v>
      </c>
      <c r="AO82" s="265">
        <f>IFERROR(VLOOKUP(AN82,'[24]Seguridad Información'!$C$61:$D$63,2,0),"")</f>
        <v>20</v>
      </c>
      <c r="AP82" s="485" t="s">
        <v>350</v>
      </c>
      <c r="AQ82" s="86">
        <f>IFERROR(VLOOKUP(AP82,'[24]Seguridad Información'!$E$61:$F$64,2,0),"")</f>
        <v>100</v>
      </c>
      <c r="AR82" s="485" t="s">
        <v>351</v>
      </c>
      <c r="AS82" s="86">
        <f>IFERROR(VLOOKUP(AR82,'[24]Seguridad Información'!$G$61:$H$64,2,0),"")</f>
        <v>100</v>
      </c>
      <c r="AT82" s="514" t="s">
        <v>352</v>
      </c>
      <c r="AU82" s="444">
        <f>IFERROR(VLOOKUP(AT82,'[24]Seguridad Información'!$I$61:$J$65,2,0),"")</f>
        <v>100</v>
      </c>
      <c r="AV82" s="444"/>
      <c r="AW82" s="475">
        <f t="shared" si="95"/>
        <v>80</v>
      </c>
      <c r="AX82" s="463" t="str">
        <f t="shared" si="96"/>
        <v>Débil</v>
      </c>
      <c r="AY82" s="475" t="str">
        <f>IFERROR(VLOOKUP((CONCATENATE(AM82,AX82)),[24]Listados!$U$3:$V$11,2,FALSE),"")</f>
        <v>Débil</v>
      </c>
      <c r="AZ82" s="463">
        <f t="shared" si="99"/>
        <v>0</v>
      </c>
      <c r="BA82" s="476">
        <f>AVERAGE(AZ82:AZ83)</f>
        <v>0</v>
      </c>
      <c r="BB82" s="476" t="str">
        <f>IF(BA82&lt;=50, "Débil", IF(BA82&lt;=99,"Moderado","Fuerte"))</f>
        <v>Débil</v>
      </c>
      <c r="BC82" s="477">
        <f>+IF(AND(W82="Preventivo",BB82="Fuerte"),2,IF(AND(W82="Preventivo",BB82="Moderado"),1,0))</f>
        <v>0</v>
      </c>
      <c r="BD82" s="477">
        <f>+IF(AND(W82="Detectivo/Correctivo",$BB82="Fuerte"),2,IF(AND(W82="Detectivo/Correctivo",$BB82="Moderado"),1,IF(AND(W82="Preventivo",$BB82="Fuerte"),1,0)))</f>
        <v>0</v>
      </c>
      <c r="BE82" s="477">
        <f>+N82-BC82</f>
        <v>1</v>
      </c>
      <c r="BF82" s="477">
        <f>+P82-BD82</f>
        <v>2</v>
      </c>
      <c r="BG82" s="459" t="str">
        <f>+VLOOKUP(MIN(BE82,BE83),[24]Listados!$J$18:$K$24,2,TRUE)</f>
        <v>Rara Vez</v>
      </c>
      <c r="BH82" s="459" t="str">
        <f>+VLOOKUP(MIN(BF82,BF83),[24]Listados!$J$26:$K$32,2,TRUE)</f>
        <v>Menor</v>
      </c>
      <c r="BI82" s="459" t="str">
        <f>IF(AND(BG82&lt;&gt;"",BH82&lt;&gt;""),VLOOKUP(BG82&amp;BH82,[24]Listados!$M$3:$N$27,2,FALSE),"")</f>
        <v>Bajo</v>
      </c>
      <c r="BJ82" s="469" t="str">
        <f>+IF($R82="Asumir el riesgo","NA","")</f>
        <v>NA</v>
      </c>
      <c r="BK82" s="469" t="str">
        <f>+IF($R82="Asumir el riesgo","NA","")</f>
        <v>NA</v>
      </c>
      <c r="BL82" s="469" t="str">
        <f>+IF($R82="Asumir el riesgo","NA","")</f>
        <v>NA</v>
      </c>
      <c r="BM82" s="300" t="str">
        <f>+IF($R82="Asumir el riesgo","NA","")</f>
        <v>NA</v>
      </c>
    </row>
    <row r="83" spans="1:65" ht="115.5" thickBot="1">
      <c r="A83" s="369"/>
      <c r="B83" s="299"/>
      <c r="C83" s="414"/>
      <c r="D83" s="415"/>
      <c r="E83" s="201" t="s">
        <v>181</v>
      </c>
      <c r="F83" s="373"/>
      <c r="G83" s="373"/>
      <c r="H83" s="202" t="s">
        <v>184</v>
      </c>
      <c r="I83" s="203" t="s">
        <v>202</v>
      </c>
      <c r="J83" s="202" t="s">
        <v>469</v>
      </c>
      <c r="K83" s="204" t="s">
        <v>17</v>
      </c>
      <c r="L83" s="205" t="s">
        <v>215</v>
      </c>
      <c r="M83" s="370"/>
      <c r="N83" s="366"/>
      <c r="O83" s="375"/>
      <c r="P83" s="366"/>
      <c r="Q83" s="322"/>
      <c r="R83" s="322"/>
      <c r="S83" s="206" t="s">
        <v>224</v>
      </c>
      <c r="T83" s="206" t="s">
        <v>308</v>
      </c>
      <c r="U83" s="266" t="s">
        <v>579</v>
      </c>
      <c r="V83" s="208" t="s">
        <v>184</v>
      </c>
      <c r="W83" s="267" t="s">
        <v>21</v>
      </c>
      <c r="X83" s="267" t="s">
        <v>119</v>
      </c>
      <c r="Y83" s="206">
        <f t="shared" si="100"/>
        <v>15</v>
      </c>
      <c r="Z83" s="267" t="s">
        <v>119</v>
      </c>
      <c r="AA83" s="206">
        <f t="shared" si="101"/>
        <v>15</v>
      </c>
      <c r="AB83" s="206" t="s">
        <v>119</v>
      </c>
      <c r="AC83" s="206">
        <f t="shared" si="102"/>
        <v>15</v>
      </c>
      <c r="AD83" s="206" t="s">
        <v>119</v>
      </c>
      <c r="AE83" s="206">
        <f t="shared" si="103"/>
        <v>15</v>
      </c>
      <c r="AF83" s="206" t="s">
        <v>119</v>
      </c>
      <c r="AG83" s="206">
        <f t="shared" si="104"/>
        <v>15</v>
      </c>
      <c r="AH83" s="206" t="s">
        <v>119</v>
      </c>
      <c r="AI83" s="206">
        <f t="shared" si="105"/>
        <v>15</v>
      </c>
      <c r="AJ83" s="206" t="s">
        <v>120</v>
      </c>
      <c r="AK83" s="209">
        <f t="shared" si="94"/>
        <v>10</v>
      </c>
      <c r="AL83" s="210">
        <f t="shared" si="97"/>
        <v>100</v>
      </c>
      <c r="AM83" s="210" t="str">
        <f t="shared" si="98"/>
        <v>Fuerte</v>
      </c>
      <c r="AN83" s="268" t="s">
        <v>357</v>
      </c>
      <c r="AO83" s="269">
        <f>IFERROR(VLOOKUP(AN83,'[24]Seguridad Información'!$C$61:$D$63,2,0),"")</f>
        <v>20</v>
      </c>
      <c r="AP83" s="261" t="s">
        <v>350</v>
      </c>
      <c r="AQ83" s="212">
        <f>IFERROR(VLOOKUP(AP83,'[24]Seguridad Información'!$E$61:$F$64,2,0),"")</f>
        <v>100</v>
      </c>
      <c r="AR83" s="261" t="s">
        <v>355</v>
      </c>
      <c r="AS83" s="212">
        <f>IFERROR(VLOOKUP(AR83,'[24]Seguridad Información'!$G$61:$H$64,2,0),"")</f>
        <v>60</v>
      </c>
      <c r="AT83" s="268" t="s">
        <v>352</v>
      </c>
      <c r="AU83" s="213">
        <f>IFERROR(VLOOKUP(AT83,'[24]Seguridad Información'!$I$61:$J$65,2,0),"")</f>
        <v>100</v>
      </c>
      <c r="AV83" s="213"/>
      <c r="AW83" s="214">
        <f t="shared" si="95"/>
        <v>70</v>
      </c>
      <c r="AX83" s="210" t="str">
        <f t="shared" si="96"/>
        <v>Débil</v>
      </c>
      <c r="AY83" s="214" t="str">
        <f>IFERROR(VLOOKUP((CONCATENATE(AM83,AX83)),[24]Listados!$U$3:$V$11,2,FALSE),"")</f>
        <v>Débil</v>
      </c>
      <c r="AZ83" s="210">
        <f t="shared" si="99"/>
        <v>0</v>
      </c>
      <c r="BA83" s="368"/>
      <c r="BB83" s="368"/>
      <c r="BC83" s="215">
        <f>+IF(AND(W83="Preventivo",BB82="Fuerte"),2,IF(AND(W83="Preventivo",BB82="Moderado"),1,0))</f>
        <v>0</v>
      </c>
      <c r="BD83" s="215">
        <f>+IF(AND(W83="Detectivo/Correctivo",$BB82="Fuerte"),2,IF(AND(W83="Detectivo/Correctivo",$BB83="Moderado"),1,IF(AND(W83="Preventivo",$BB82="Fuerte"),1,0)))</f>
        <v>0</v>
      </c>
      <c r="BE83" s="215">
        <f>+N82-BC83</f>
        <v>1</v>
      </c>
      <c r="BF83" s="215">
        <f>+P82-BD83</f>
        <v>2</v>
      </c>
      <c r="BG83" s="322"/>
      <c r="BH83" s="322"/>
      <c r="BI83" s="322"/>
      <c r="BJ83" s="299"/>
      <c r="BK83" s="299"/>
      <c r="BL83" s="299"/>
      <c r="BM83" s="301"/>
    </row>
    <row r="84" spans="1:65" ht="102">
      <c r="A84" s="319">
        <v>1</v>
      </c>
      <c r="B84" s="416" t="s">
        <v>69</v>
      </c>
      <c r="C84" s="417" t="str">
        <f>IFERROR(VLOOKUP(B84,[25]Listados!B$3:C$20,2,FALSE),"")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84" s="377" t="s">
        <v>580</v>
      </c>
      <c r="E84" s="110" t="s">
        <v>182</v>
      </c>
      <c r="F84" s="298" t="s">
        <v>182</v>
      </c>
      <c r="G84" s="298" t="s">
        <v>199</v>
      </c>
      <c r="H84" s="110" t="s">
        <v>185</v>
      </c>
      <c r="I84" s="110" t="s">
        <v>203</v>
      </c>
      <c r="J84" s="110" t="s">
        <v>209</v>
      </c>
      <c r="K84" s="110" t="s">
        <v>17</v>
      </c>
      <c r="L84" s="110" t="s">
        <v>215</v>
      </c>
      <c r="M84" s="298" t="s">
        <v>45</v>
      </c>
      <c r="N84" s="297">
        <f>+VLOOKUP(M84,[25]Listados!$K$8:$L$12,2,0)</f>
        <v>3</v>
      </c>
      <c r="O84" s="298" t="s">
        <v>55</v>
      </c>
      <c r="P84" s="297">
        <f>+VLOOKUP(O84,[25]Listados!$K$13:$L$17,2,0)</f>
        <v>4</v>
      </c>
      <c r="Q84" s="418" t="str">
        <f>IF(AND(M84&lt;&gt;"",O84&lt;&gt;""),VLOOKUP(M84&amp;O84,[25]Listados!$M$3:$N$27,2,FALSE),"")</f>
        <v>Extremo</v>
      </c>
      <c r="R84" s="297" t="str">
        <f>+VLOOKUP(Q84,[25]Listados!$P$3:$Q$6,2,FALSE)</f>
        <v>Evitar el riesgo</v>
      </c>
      <c r="S84" s="110" t="s">
        <v>228</v>
      </c>
      <c r="T84" s="110" t="s">
        <v>280</v>
      </c>
      <c r="U84" s="236" t="s">
        <v>581</v>
      </c>
      <c r="V84" s="236" t="s">
        <v>209</v>
      </c>
      <c r="W84" s="110" t="s">
        <v>130</v>
      </c>
      <c r="X84" s="110" t="s">
        <v>119</v>
      </c>
      <c r="Y84" s="110">
        <f t="shared" si="100"/>
        <v>15</v>
      </c>
      <c r="Z84" s="110" t="s">
        <v>119</v>
      </c>
      <c r="AA84" s="110">
        <f t="shared" si="101"/>
        <v>15</v>
      </c>
      <c r="AB84" s="110" t="s">
        <v>119</v>
      </c>
      <c r="AC84" s="110">
        <f t="shared" si="102"/>
        <v>15</v>
      </c>
      <c r="AD84" s="110" t="s">
        <v>119</v>
      </c>
      <c r="AE84" s="110">
        <f t="shared" si="103"/>
        <v>15</v>
      </c>
      <c r="AF84" s="110" t="s">
        <v>119</v>
      </c>
      <c r="AG84" s="110">
        <f t="shared" si="104"/>
        <v>15</v>
      </c>
      <c r="AH84" s="110" t="s">
        <v>119</v>
      </c>
      <c r="AI84" s="110">
        <f t="shared" si="105"/>
        <v>15</v>
      </c>
      <c r="AJ84" s="110" t="s">
        <v>120</v>
      </c>
      <c r="AK84" s="113">
        <f t="shared" si="94"/>
        <v>10</v>
      </c>
      <c r="AL84" s="142">
        <f t="shared" si="97"/>
        <v>100</v>
      </c>
      <c r="AM84" s="142" t="str">
        <f t="shared" si="98"/>
        <v>Fuerte</v>
      </c>
      <c r="AN84" s="237" t="s">
        <v>357</v>
      </c>
      <c r="AO84" s="238">
        <f>IFERROR(VLOOKUP(AN84,'[25]Seguridad Información'!$C$61:$D$63,2,0),"")</f>
        <v>20</v>
      </c>
      <c r="AP84" s="237" t="s">
        <v>350</v>
      </c>
      <c r="AQ84" s="238">
        <f>IFERROR(VLOOKUP(AP84,'[25]Seguridad Información'!$E$61:$F$64,2,0),"")</f>
        <v>100</v>
      </c>
      <c r="AR84" s="237" t="s">
        <v>355</v>
      </c>
      <c r="AS84" s="238">
        <f>IFERROR(VLOOKUP(AR84,'[25]Seguridad Información'!$G$61:$H$64,2,0),"")</f>
        <v>60</v>
      </c>
      <c r="AT84" s="237" t="s">
        <v>352</v>
      </c>
      <c r="AU84" s="239">
        <f>IFERROR(VLOOKUP(AT84,'[25]Seguridad Información'!$I$61:$J$65,2,0),"")</f>
        <v>100</v>
      </c>
      <c r="AV84" s="240"/>
      <c r="AW84" s="142">
        <f t="shared" si="95"/>
        <v>70</v>
      </c>
      <c r="AX84" s="142" t="str">
        <f t="shared" si="96"/>
        <v>Débil</v>
      </c>
      <c r="AY84" s="142" t="str">
        <f>IFERROR(VLOOKUP((CONCATENATE(AM84,AX84)),[25]Listados!$U$3:$V$11,2,FALSE),"")</f>
        <v>Débil</v>
      </c>
      <c r="AZ84" s="142">
        <f t="shared" si="99"/>
        <v>0</v>
      </c>
      <c r="BA84" s="386">
        <f>AVERAGE(AZ84:AZ86)</f>
        <v>0</v>
      </c>
      <c r="BB84" s="386" t="str">
        <f>IF(BA84&lt;=50, "Débil", IF(BA84&lt;=99,"Moderado","Fuerte"))</f>
        <v>Débil</v>
      </c>
      <c r="BC84" s="241">
        <f>+IF(AND(W84="Preventivo",BB84="Fuerte"),2,IF(AND(W84="Preventivo",BB84="Moderado"),1,0))</f>
        <v>0</v>
      </c>
      <c r="BD84" s="241">
        <f>+IF(AND(W84="Detectivo/Correctivo",$BB84="Fuerte"),2,IF(AND(W84="Detectivo/Correctivo",$BB84="Moderado"),1,IF(AND(W84="Preventivo",$BB84="Fuerte"),1,0)))</f>
        <v>0</v>
      </c>
      <c r="BE84" s="241">
        <f>+N84-BC84</f>
        <v>3</v>
      </c>
      <c r="BF84" s="241">
        <f>+P84-BD84</f>
        <v>4</v>
      </c>
      <c r="BG84" s="297" t="str">
        <f>+VLOOKUP(MIN(BE84,BE85,BE86),[25]Listados!$J$18:$K$24,2,TRUE)</f>
        <v>Posible</v>
      </c>
      <c r="BH84" s="297" t="str">
        <f>+VLOOKUP(MIN(BF84,BF85,BF86),[25]Listados!$J$26:$K$32,2,TRUE)</f>
        <v>Mayor</v>
      </c>
      <c r="BI84" s="418" t="str">
        <f>IF(AND(BG84&lt;&gt;"",BH84&lt;&gt;""),VLOOKUP(BG84&amp;BH84,[25]Listados!$M$3:$N$27,2,FALSE),"")</f>
        <v>Extremo</v>
      </c>
      <c r="BJ84" s="298" t="s">
        <v>582</v>
      </c>
      <c r="BK84" s="304">
        <v>45323</v>
      </c>
      <c r="BL84" s="298" t="s">
        <v>463</v>
      </c>
      <c r="BM84" s="305" t="s">
        <v>583</v>
      </c>
    </row>
    <row r="85" spans="1:65" ht="114.75">
      <c r="A85" s="320"/>
      <c r="B85" s="517"/>
      <c r="C85" s="518"/>
      <c r="D85" s="483"/>
      <c r="E85" s="460" t="s">
        <v>180</v>
      </c>
      <c r="F85" s="469"/>
      <c r="G85" s="469"/>
      <c r="H85" s="460" t="s">
        <v>186</v>
      </c>
      <c r="I85" s="460" t="s">
        <v>201</v>
      </c>
      <c r="J85" s="460" t="s">
        <v>207</v>
      </c>
      <c r="K85" s="460" t="s">
        <v>31</v>
      </c>
      <c r="L85" s="460" t="s">
        <v>214</v>
      </c>
      <c r="M85" s="469"/>
      <c r="N85" s="459"/>
      <c r="O85" s="469"/>
      <c r="P85" s="459"/>
      <c r="Q85" s="519"/>
      <c r="R85" s="459"/>
      <c r="S85" s="460" t="s">
        <v>228</v>
      </c>
      <c r="T85" s="460" t="s">
        <v>256</v>
      </c>
      <c r="U85" s="520" t="s">
        <v>584</v>
      </c>
      <c r="V85" s="520" t="s">
        <v>207</v>
      </c>
      <c r="W85" s="460" t="s">
        <v>21</v>
      </c>
      <c r="X85" s="460" t="s">
        <v>119</v>
      </c>
      <c r="Y85" s="460">
        <f t="shared" si="100"/>
        <v>15</v>
      </c>
      <c r="Z85" s="460" t="s">
        <v>119</v>
      </c>
      <c r="AA85" s="460">
        <f t="shared" si="101"/>
        <v>15</v>
      </c>
      <c r="AB85" s="460" t="s">
        <v>119</v>
      </c>
      <c r="AC85" s="460">
        <f t="shared" si="102"/>
        <v>15</v>
      </c>
      <c r="AD85" s="460" t="s">
        <v>119</v>
      </c>
      <c r="AE85" s="460">
        <f t="shared" si="103"/>
        <v>15</v>
      </c>
      <c r="AF85" s="460" t="s">
        <v>119</v>
      </c>
      <c r="AG85" s="460">
        <f t="shared" si="104"/>
        <v>15</v>
      </c>
      <c r="AH85" s="460" t="s">
        <v>119</v>
      </c>
      <c r="AI85" s="460">
        <f t="shared" si="105"/>
        <v>15</v>
      </c>
      <c r="AJ85" s="460" t="s">
        <v>120</v>
      </c>
      <c r="AK85" s="462">
        <f t="shared" si="94"/>
        <v>10</v>
      </c>
      <c r="AL85" s="467">
        <f t="shared" si="97"/>
        <v>100</v>
      </c>
      <c r="AM85" s="467" t="str">
        <f t="shared" si="98"/>
        <v>Fuerte</v>
      </c>
      <c r="AN85" s="521" t="s">
        <v>357</v>
      </c>
      <c r="AO85" s="522">
        <f>IFERROR(VLOOKUP(AN85,'[25]Seguridad Información'!$C$61:$D$63,2,0),"")</f>
        <v>20</v>
      </c>
      <c r="AP85" s="521" t="s">
        <v>350</v>
      </c>
      <c r="AQ85" s="522">
        <f>IFERROR(VLOOKUP(AP85,'[25]Seguridad Información'!$E$61:$F$64,2,0),"")</f>
        <v>100</v>
      </c>
      <c r="AR85" s="521" t="s">
        <v>355</v>
      </c>
      <c r="AS85" s="522">
        <f>IFERROR(VLOOKUP(AR85,'[25]Seguridad Información'!$G$61:$H$64,2,0),"")</f>
        <v>60</v>
      </c>
      <c r="AT85" s="521" t="s">
        <v>352</v>
      </c>
      <c r="AU85" s="523">
        <f>IFERROR(VLOOKUP(AT85,'[25]Seguridad Información'!$I$61:$J$65,2,0),"")</f>
        <v>100</v>
      </c>
      <c r="AV85" s="524"/>
      <c r="AW85" s="467">
        <f t="shared" si="95"/>
        <v>70</v>
      </c>
      <c r="AX85" s="467" t="str">
        <f t="shared" si="96"/>
        <v>Débil</v>
      </c>
      <c r="AY85" s="467" t="str">
        <f>IFERROR(VLOOKUP((CONCATENATE(AM85,AX85)),[25]Listados!$U$3:$V$11,2,FALSE),"")</f>
        <v>Débil</v>
      </c>
      <c r="AZ85" s="467">
        <f t="shared" si="99"/>
        <v>0</v>
      </c>
      <c r="BA85" s="468"/>
      <c r="BB85" s="468"/>
      <c r="BC85" s="525">
        <f>+IF(AND(W85="Preventivo",BB84="Fuerte"),2,IF(AND(W85="Preventivo",BB84="Moderado"),1,0))</f>
        <v>0</v>
      </c>
      <c r="BD85" s="525">
        <f>+IF(AND(W85="Detectivo/Correctivo",$BB84="Fuerte"),2,IF(AND(W85="Detectivo/Correctivo",$BB85="Moderado"),1,IF(AND(W85="Preventivo",$BB84="Fuerte"),1,0)))</f>
        <v>0</v>
      </c>
      <c r="BE85" s="525">
        <f>+N84-BC85</f>
        <v>3</v>
      </c>
      <c r="BF85" s="525">
        <f>+P84-BD85</f>
        <v>4</v>
      </c>
      <c r="BG85" s="459"/>
      <c r="BH85" s="459"/>
      <c r="BI85" s="519"/>
      <c r="BJ85" s="469"/>
      <c r="BK85" s="469"/>
      <c r="BL85" s="469"/>
      <c r="BM85" s="300"/>
    </row>
    <row r="86" spans="1:65" ht="89.25">
      <c r="A86" s="320"/>
      <c r="B86" s="517"/>
      <c r="C86" s="518"/>
      <c r="D86" s="483"/>
      <c r="E86" s="460" t="s">
        <v>181</v>
      </c>
      <c r="F86" s="469"/>
      <c r="G86" s="469"/>
      <c r="H86" s="460" t="s">
        <v>187</v>
      </c>
      <c r="I86" s="460" t="s">
        <v>202</v>
      </c>
      <c r="J86" s="460" t="s">
        <v>208</v>
      </c>
      <c r="K86" s="460" t="s">
        <v>31</v>
      </c>
      <c r="L86" s="460" t="s">
        <v>215</v>
      </c>
      <c r="M86" s="469"/>
      <c r="N86" s="459"/>
      <c r="O86" s="469"/>
      <c r="P86" s="459"/>
      <c r="Q86" s="519"/>
      <c r="R86" s="459"/>
      <c r="S86" s="460" t="s">
        <v>227</v>
      </c>
      <c r="T86" s="460" t="s">
        <v>336</v>
      </c>
      <c r="U86" s="520" t="s">
        <v>585</v>
      </c>
      <c r="V86" s="520" t="s">
        <v>208</v>
      </c>
      <c r="W86" s="460" t="s">
        <v>21</v>
      </c>
      <c r="X86" s="460" t="s">
        <v>119</v>
      </c>
      <c r="Y86" s="460">
        <f t="shared" si="100"/>
        <v>15</v>
      </c>
      <c r="Z86" s="460" t="s">
        <v>119</v>
      </c>
      <c r="AA86" s="460">
        <f t="shared" si="101"/>
        <v>15</v>
      </c>
      <c r="AB86" s="460" t="s">
        <v>119</v>
      </c>
      <c r="AC86" s="460">
        <f t="shared" si="102"/>
        <v>15</v>
      </c>
      <c r="AD86" s="460" t="s">
        <v>119</v>
      </c>
      <c r="AE86" s="460">
        <f t="shared" si="103"/>
        <v>15</v>
      </c>
      <c r="AF86" s="460" t="s">
        <v>119</v>
      </c>
      <c r="AG86" s="460">
        <f t="shared" si="104"/>
        <v>15</v>
      </c>
      <c r="AH86" s="460" t="s">
        <v>119</v>
      </c>
      <c r="AI86" s="460">
        <f t="shared" si="105"/>
        <v>15</v>
      </c>
      <c r="AJ86" s="460" t="s">
        <v>120</v>
      </c>
      <c r="AK86" s="462">
        <f t="shared" si="94"/>
        <v>10</v>
      </c>
      <c r="AL86" s="467">
        <f t="shared" si="97"/>
        <v>100</v>
      </c>
      <c r="AM86" s="467" t="str">
        <f t="shared" si="98"/>
        <v>Fuerte</v>
      </c>
      <c r="AN86" s="521" t="s">
        <v>357</v>
      </c>
      <c r="AO86" s="522">
        <f>IFERROR(VLOOKUP(AN86,'[25]Seguridad Información'!$C$61:$D$63,2,0),"")</f>
        <v>20</v>
      </c>
      <c r="AP86" s="521" t="s">
        <v>350</v>
      </c>
      <c r="AQ86" s="522">
        <f>IFERROR(VLOOKUP(AP86,'[25]Seguridad Información'!$E$61:$F$64,2,0),"")</f>
        <v>100</v>
      </c>
      <c r="AR86" s="521" t="s">
        <v>351</v>
      </c>
      <c r="AS86" s="522">
        <f>IFERROR(VLOOKUP(AR86,'[25]Seguridad Información'!$G$61:$H$64,2,0),"")</f>
        <v>100</v>
      </c>
      <c r="AT86" s="521" t="s">
        <v>356</v>
      </c>
      <c r="AU86" s="523">
        <f>IFERROR(VLOOKUP(AT86,'[25]Seguridad Información'!$I$61:$J$65,2,0),"")</f>
        <v>60</v>
      </c>
      <c r="AV86" s="524"/>
      <c r="AW86" s="467">
        <f t="shared" si="95"/>
        <v>70</v>
      </c>
      <c r="AX86" s="467" t="str">
        <f t="shared" si="96"/>
        <v>Débil</v>
      </c>
      <c r="AY86" s="467" t="str">
        <f>IFERROR(VLOOKUP((CONCATENATE(AM86,AX86)),[25]Listados!$U$3:$V$11,2,FALSE),"")</f>
        <v>Débil</v>
      </c>
      <c r="AZ86" s="467">
        <f t="shared" si="99"/>
        <v>0</v>
      </c>
      <c r="BA86" s="468"/>
      <c r="BB86" s="468"/>
      <c r="BC86" s="525">
        <f>+IF(AND(W86="Preventivo",BB84="Fuerte"),2,IF(AND(W86="Preventivo",BB84="Moderado"),1,0))</f>
        <v>0</v>
      </c>
      <c r="BD86" s="525">
        <f>+IF(AND(W86="Detectivo/Correctivo",$BB84="Fuerte"),2,IF(AND(W86="Detectivo/Correctivo",$BB86="Moderado"),1,IF(AND(W86="Preventivo",$BB84="Fuerte"),1,0)))</f>
        <v>0</v>
      </c>
      <c r="BE86" s="525">
        <f>+N84-BC86</f>
        <v>3</v>
      </c>
      <c r="BF86" s="525">
        <f>+P84-BD86</f>
        <v>4</v>
      </c>
      <c r="BG86" s="459"/>
      <c r="BH86" s="459"/>
      <c r="BI86" s="519"/>
      <c r="BJ86" s="469"/>
      <c r="BK86" s="469"/>
      <c r="BL86" s="469"/>
      <c r="BM86" s="300"/>
    </row>
    <row r="87" spans="1:65" ht="114.75">
      <c r="A87" s="320">
        <v>2</v>
      </c>
      <c r="B87" s="526" t="s">
        <v>73</v>
      </c>
      <c r="C87" s="518" t="str">
        <f>IFERROR(VLOOKUP(B87,[26]Listados!B$3:C$20,2,FALSE),"")</f>
        <v>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v>
      </c>
      <c r="D87" s="450" t="s">
        <v>586</v>
      </c>
      <c r="E87" s="460" t="s">
        <v>181</v>
      </c>
      <c r="F87" s="469" t="s">
        <v>181</v>
      </c>
      <c r="G87" s="469" t="s">
        <v>198</v>
      </c>
      <c r="H87" s="460" t="s">
        <v>187</v>
      </c>
      <c r="I87" s="460" t="s">
        <v>202</v>
      </c>
      <c r="J87" s="460" t="s">
        <v>208</v>
      </c>
      <c r="K87" s="460" t="s">
        <v>17</v>
      </c>
      <c r="L87" s="460" t="s">
        <v>215</v>
      </c>
      <c r="M87" s="469" t="s">
        <v>32</v>
      </c>
      <c r="N87" s="459">
        <f>+VLOOKUP(M87,[26]Listados!$K$8:$L$12,2,0)</f>
        <v>2</v>
      </c>
      <c r="O87" s="469" t="s">
        <v>19</v>
      </c>
      <c r="P87" s="459">
        <f>+VLOOKUP(O87,[26]Listados!$K$13:$L$17,2,0)</f>
        <v>1</v>
      </c>
      <c r="Q87" s="527" t="str">
        <f>IF(AND(M87&lt;&gt;"",O87&lt;&gt;""),VLOOKUP(M87&amp;O87,[26]Listados!$M$3:$N$27,2,FALSE),"")</f>
        <v>Bajo</v>
      </c>
      <c r="R87" s="459" t="str">
        <f>+VLOOKUP(Q87,[26]Listados!$P$3:$Q$6,2,FALSE)</f>
        <v>Asumir el riesgo</v>
      </c>
      <c r="S87" s="460" t="s">
        <v>225</v>
      </c>
      <c r="T87" s="460" t="s">
        <v>339</v>
      </c>
      <c r="U87" s="520" t="s">
        <v>587</v>
      </c>
      <c r="V87" s="520" t="s">
        <v>208</v>
      </c>
      <c r="W87" s="528" t="s">
        <v>21</v>
      </c>
      <c r="X87" s="480" t="s">
        <v>119</v>
      </c>
      <c r="Y87" s="460">
        <f t="shared" si="100"/>
        <v>15</v>
      </c>
      <c r="Z87" s="480" t="s">
        <v>119</v>
      </c>
      <c r="AA87" s="460">
        <f t="shared" si="101"/>
        <v>15</v>
      </c>
      <c r="AB87" s="460" t="s">
        <v>119</v>
      </c>
      <c r="AC87" s="460">
        <f t="shared" si="102"/>
        <v>15</v>
      </c>
      <c r="AD87" s="460" t="s">
        <v>119</v>
      </c>
      <c r="AE87" s="460">
        <f t="shared" si="103"/>
        <v>15</v>
      </c>
      <c r="AF87" s="460" t="s">
        <v>119</v>
      </c>
      <c r="AG87" s="460">
        <f t="shared" si="104"/>
        <v>15</v>
      </c>
      <c r="AH87" s="460" t="s">
        <v>119</v>
      </c>
      <c r="AI87" s="460">
        <f t="shared" si="105"/>
        <v>15</v>
      </c>
      <c r="AJ87" s="460" t="s">
        <v>120</v>
      </c>
      <c r="AK87" s="462">
        <f t="shared" si="94"/>
        <v>10</v>
      </c>
      <c r="AL87" s="467">
        <f t="shared" si="97"/>
        <v>100</v>
      </c>
      <c r="AM87" s="467" t="str">
        <f t="shared" si="98"/>
        <v>Fuerte</v>
      </c>
      <c r="AN87" s="529" t="s">
        <v>349</v>
      </c>
      <c r="AO87" s="530">
        <f>IFERROR(VLOOKUP(AN87,'[27]Seguridad Información'!$C$61:$D$63,2,0),"")</f>
        <v>100</v>
      </c>
      <c r="AP87" s="531" t="s">
        <v>350</v>
      </c>
      <c r="AQ87" s="530">
        <f>IFERROR(VLOOKUP(AP87,'[27]Seguridad Información'!$E$61:$F$64,2,0),"")</f>
        <v>100</v>
      </c>
      <c r="AR87" s="529" t="s">
        <v>355</v>
      </c>
      <c r="AS87" s="530">
        <f>IFERROR(VLOOKUP(AR87,'[27]Seguridad Información'!$G$61:$H$64,2,0),"")</f>
        <v>60</v>
      </c>
      <c r="AT87" s="529" t="s">
        <v>352</v>
      </c>
      <c r="AU87" s="524">
        <f>IFERROR(VLOOKUP(AT87,'[27]Seguridad Información'!$I$61:$J$65,2,0),"")</f>
        <v>100</v>
      </c>
      <c r="AV87" s="524">
        <f t="shared" ref="AV87:AV90" si="106">IFERROR(AVERAGE(AO87,AQ87,AS87,AU87),"")</f>
        <v>90</v>
      </c>
      <c r="AW87" s="467">
        <f t="shared" si="95"/>
        <v>90</v>
      </c>
      <c r="AX87" s="467" t="str">
        <f t="shared" si="96"/>
        <v>Moderado</v>
      </c>
      <c r="AY87" s="467" t="str">
        <f>IFERROR(VLOOKUP((CONCATENATE(AM87,AX87)),[27]Listados!$U$3:$V$11,2,FALSE),"")</f>
        <v>Moderado</v>
      </c>
      <c r="AZ87" s="467">
        <f t="shared" si="99"/>
        <v>50</v>
      </c>
      <c r="BA87" s="468">
        <f>AVERAGE(AZ87:AZ88)</f>
        <v>25</v>
      </c>
      <c r="BB87" s="468" t="str">
        <f>IF(BA87&lt;=50, "Débil", IF(BA87&lt;=99,"Moderado","Fuerte"))</f>
        <v>Débil</v>
      </c>
      <c r="BC87" s="525">
        <f>+IF(AND(W87="Preventivo",BB87="Fuerte"),2,IF(AND(W87="Preventivo",BB87="Moderado"),1,0))</f>
        <v>0</v>
      </c>
      <c r="BD87" s="525">
        <f>+IF(AND(W87="Detectivo/Correctivo",$BB87="Fuerte"),2,IF(AND(W87="Detectivo/Correctivo",$BB87="Moderado"),1,IF(AND(W87="Preventivo",$BB87="Fuerte"),1,0)))</f>
        <v>0</v>
      </c>
      <c r="BE87" s="525">
        <f>+N87-BC87</f>
        <v>2</v>
      </c>
      <c r="BF87" s="525">
        <f>+P87-BD87</f>
        <v>1</v>
      </c>
      <c r="BG87" s="459" t="str">
        <f>+VLOOKUP(MIN(BE78,BE88),[26]Listados!$J$18:$K$24,2,TRUE)</f>
        <v>Improbable</v>
      </c>
      <c r="BH87" s="459" t="str">
        <f>+VLOOKUP(MIN(BF87,BF88),[26]Listados!$J$26:$K$32,2,TRUE)</f>
        <v>Insignificante</v>
      </c>
      <c r="BI87" s="527" t="str">
        <f>IF(AND(BG87&lt;&gt;"",BH87&lt;&gt;""),VLOOKUP(BG87&amp;BH87,[27]Listados!$M$3:$N$27,2,FALSE),"")</f>
        <v>Bajo</v>
      </c>
      <c r="BJ87" s="469" t="str">
        <f>+IF($R87="Asumir el riesgo","NA","")</f>
        <v>NA</v>
      </c>
      <c r="BK87" s="469" t="str">
        <f>+IF($R87="Asumir el riesgo","NA","")</f>
        <v>NA</v>
      </c>
      <c r="BL87" s="469" t="str">
        <f>+IF($R87="Asumir el riesgo","NA","")</f>
        <v>NA</v>
      </c>
      <c r="BM87" s="300" t="str">
        <f>+IF($R87="Asumir el riesgo","NA","")</f>
        <v>NA</v>
      </c>
    </row>
    <row r="88" spans="1:65" ht="114.75">
      <c r="A88" s="320"/>
      <c r="B88" s="526"/>
      <c r="C88" s="518"/>
      <c r="D88" s="450"/>
      <c r="E88" s="460" t="s">
        <v>181</v>
      </c>
      <c r="F88" s="469"/>
      <c r="G88" s="469"/>
      <c r="H88" s="460" t="s">
        <v>184</v>
      </c>
      <c r="I88" s="460" t="s">
        <v>202</v>
      </c>
      <c r="J88" s="460" t="s">
        <v>205</v>
      </c>
      <c r="K88" s="460" t="s">
        <v>17</v>
      </c>
      <c r="L88" s="460" t="s">
        <v>215</v>
      </c>
      <c r="M88" s="469"/>
      <c r="N88" s="459"/>
      <c r="O88" s="469"/>
      <c r="P88" s="459"/>
      <c r="Q88" s="527"/>
      <c r="R88" s="459"/>
      <c r="S88" s="460" t="s">
        <v>224</v>
      </c>
      <c r="T88" s="460" t="s">
        <v>276</v>
      </c>
      <c r="U88" s="520" t="s">
        <v>472</v>
      </c>
      <c r="V88" s="520" t="s">
        <v>205</v>
      </c>
      <c r="W88" s="528" t="s">
        <v>21</v>
      </c>
      <c r="X88" s="480" t="s">
        <v>119</v>
      </c>
      <c r="Y88" s="460">
        <f t="shared" si="100"/>
        <v>15</v>
      </c>
      <c r="Z88" s="480" t="s">
        <v>119</v>
      </c>
      <c r="AA88" s="460">
        <f t="shared" si="101"/>
        <v>15</v>
      </c>
      <c r="AB88" s="460" t="s">
        <v>119</v>
      </c>
      <c r="AC88" s="460">
        <f t="shared" si="102"/>
        <v>15</v>
      </c>
      <c r="AD88" s="460" t="s">
        <v>119</v>
      </c>
      <c r="AE88" s="460">
        <f t="shared" si="103"/>
        <v>15</v>
      </c>
      <c r="AF88" s="460" t="s">
        <v>119</v>
      </c>
      <c r="AG88" s="460">
        <f t="shared" si="104"/>
        <v>15</v>
      </c>
      <c r="AH88" s="460" t="s">
        <v>119</v>
      </c>
      <c r="AI88" s="460">
        <f t="shared" si="105"/>
        <v>15</v>
      </c>
      <c r="AJ88" s="460" t="s">
        <v>120</v>
      </c>
      <c r="AK88" s="462">
        <f t="shared" si="94"/>
        <v>10</v>
      </c>
      <c r="AL88" s="467">
        <f t="shared" si="97"/>
        <v>100</v>
      </c>
      <c r="AM88" s="467" t="str">
        <f t="shared" si="98"/>
        <v>Fuerte</v>
      </c>
      <c r="AN88" s="529" t="s">
        <v>353</v>
      </c>
      <c r="AO88" s="530">
        <f>IFERROR(VLOOKUP(AN88,'[27]Seguridad Información'!$C$61:$D$63,2,0),"")</f>
        <v>60</v>
      </c>
      <c r="AP88" s="531" t="s">
        <v>350</v>
      </c>
      <c r="AQ88" s="530">
        <f>IFERROR(VLOOKUP(AP88,'[27]Seguridad Información'!$E$61:$F$64,2,0),"")</f>
        <v>100</v>
      </c>
      <c r="AR88" s="529" t="s">
        <v>355</v>
      </c>
      <c r="AS88" s="530">
        <f>IFERROR(VLOOKUP(AR88,'[27]Seguridad Información'!$G$61:$H$64,2,0),"")</f>
        <v>60</v>
      </c>
      <c r="AT88" s="529" t="s">
        <v>352</v>
      </c>
      <c r="AU88" s="524">
        <f>IFERROR(VLOOKUP(AT88,'[27]Seguridad Información'!$I$61:$J$65,2,0),"")</f>
        <v>100</v>
      </c>
      <c r="AV88" s="524">
        <f t="shared" si="106"/>
        <v>80</v>
      </c>
      <c r="AW88" s="467">
        <f t="shared" si="95"/>
        <v>80</v>
      </c>
      <c r="AX88" s="467" t="str">
        <f t="shared" si="96"/>
        <v>Débil</v>
      </c>
      <c r="AY88" s="467" t="str">
        <f>IFERROR(VLOOKUP((CONCATENATE(AM88,AX88)),[27]Listados!$U$3:$V$11,2,FALSE),"")</f>
        <v>Débil</v>
      </c>
      <c r="AZ88" s="467">
        <f t="shared" si="99"/>
        <v>0</v>
      </c>
      <c r="BA88" s="468"/>
      <c r="BB88" s="468"/>
      <c r="BC88" s="525">
        <f>+IF(AND(W88="Preventivo",BB87="Fuerte"),2,IF(AND(W88="Preventivo",BB87="Moderado"),1,0))</f>
        <v>0</v>
      </c>
      <c r="BD88" s="525">
        <f>+IF(AND(W88="Detectivo/Correctivo",$BB87="Fuerte"),2,IF(AND(W88="Detectivo/Correctivo",$BB88="Moderado"),1,IF(AND(W88="Preventivo",$BB87="Fuerte"),1,0)))</f>
        <v>0</v>
      </c>
      <c r="BE88" s="525">
        <f>+N87-BC88</f>
        <v>2</v>
      </c>
      <c r="BF88" s="525">
        <f>+P87-BD88</f>
        <v>1</v>
      </c>
      <c r="BG88" s="459"/>
      <c r="BH88" s="459"/>
      <c r="BI88" s="527"/>
      <c r="BJ88" s="469"/>
      <c r="BK88" s="469"/>
      <c r="BL88" s="469"/>
      <c r="BM88" s="300"/>
    </row>
    <row r="89" spans="1:65" ht="153">
      <c r="A89" s="320">
        <v>3</v>
      </c>
      <c r="B89" s="532" t="s">
        <v>69</v>
      </c>
      <c r="C89" s="518" t="str">
        <f>IFERROR(VLOOKUP(B89,[26]Listados!B$3:C$20,2,FALSE),"")</f>
        <v>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v>
      </c>
      <c r="D89" s="450" t="s">
        <v>588</v>
      </c>
      <c r="E89" s="460" t="s">
        <v>181</v>
      </c>
      <c r="F89" s="469" t="s">
        <v>181</v>
      </c>
      <c r="G89" s="469" t="s">
        <v>198</v>
      </c>
      <c r="H89" s="460" t="s">
        <v>187</v>
      </c>
      <c r="I89" s="460" t="s">
        <v>202</v>
      </c>
      <c r="J89" s="460" t="s">
        <v>208</v>
      </c>
      <c r="K89" s="460" t="s">
        <v>17</v>
      </c>
      <c r="L89" s="460" t="s">
        <v>215</v>
      </c>
      <c r="M89" s="469" t="s">
        <v>22</v>
      </c>
      <c r="N89" s="459">
        <f>+VLOOKUP(M89,[26]Listados!$K$8:$L$12,2,0)</f>
        <v>1</v>
      </c>
      <c r="O89" s="469" t="s">
        <v>19</v>
      </c>
      <c r="P89" s="459">
        <f>+VLOOKUP(O89,[26]Listados!$K$13:$L$17,2,0)</f>
        <v>1</v>
      </c>
      <c r="Q89" s="456" t="str">
        <f>IF(AND(M89&lt;&gt;"",O89&lt;&gt;""),VLOOKUP(M89&amp;O89,[26]Listados!$M$3:$N$27,2,FALSE),"")</f>
        <v>Bajo</v>
      </c>
      <c r="R89" s="459" t="str">
        <f>+VLOOKUP(Q89,[26]Listados!$P$3:$Q$6,2,FALSE)</f>
        <v>Asumir el riesgo</v>
      </c>
      <c r="S89" s="460" t="s">
        <v>225</v>
      </c>
      <c r="T89" s="460" t="s">
        <v>339</v>
      </c>
      <c r="U89" s="520" t="s">
        <v>589</v>
      </c>
      <c r="V89" s="520" t="s">
        <v>208</v>
      </c>
      <c r="W89" s="528" t="s">
        <v>21</v>
      </c>
      <c r="X89" s="480" t="s">
        <v>119</v>
      </c>
      <c r="Y89" s="460">
        <f t="shared" si="100"/>
        <v>15</v>
      </c>
      <c r="Z89" s="480" t="s">
        <v>119</v>
      </c>
      <c r="AA89" s="460">
        <f t="shared" si="101"/>
        <v>15</v>
      </c>
      <c r="AB89" s="460" t="s">
        <v>119</v>
      </c>
      <c r="AC89" s="460">
        <f t="shared" si="102"/>
        <v>15</v>
      </c>
      <c r="AD89" s="460" t="s">
        <v>119</v>
      </c>
      <c r="AE89" s="460">
        <f t="shared" si="103"/>
        <v>15</v>
      </c>
      <c r="AF89" s="460" t="s">
        <v>119</v>
      </c>
      <c r="AG89" s="460">
        <f t="shared" si="104"/>
        <v>15</v>
      </c>
      <c r="AH89" s="460" t="s">
        <v>119</v>
      </c>
      <c r="AI89" s="460">
        <f t="shared" si="105"/>
        <v>15</v>
      </c>
      <c r="AJ89" s="460" t="s">
        <v>120</v>
      </c>
      <c r="AK89" s="462">
        <f t="shared" si="94"/>
        <v>10</v>
      </c>
      <c r="AL89" s="467">
        <f t="shared" si="97"/>
        <v>100</v>
      </c>
      <c r="AM89" s="467" t="str">
        <f t="shared" si="98"/>
        <v>Fuerte</v>
      </c>
      <c r="AN89" s="529" t="s">
        <v>349</v>
      </c>
      <c r="AO89" s="530">
        <f>IFERROR(VLOOKUP(AN89,'[27]Seguridad Información'!$C$61:$D$63,2,0),"")</f>
        <v>100</v>
      </c>
      <c r="AP89" s="531" t="s">
        <v>350</v>
      </c>
      <c r="AQ89" s="530">
        <f>IFERROR(VLOOKUP(AP89,'[27]Seguridad Información'!$E$61:$F$64,2,0),"")</f>
        <v>100</v>
      </c>
      <c r="AR89" s="529" t="s">
        <v>355</v>
      </c>
      <c r="AS89" s="530">
        <f>IFERROR(VLOOKUP(AR89,'[27]Seguridad Información'!$G$61:$H$64,2,0),"")</f>
        <v>60</v>
      </c>
      <c r="AT89" s="529" t="s">
        <v>352</v>
      </c>
      <c r="AU89" s="524">
        <f>IFERROR(VLOOKUP(AT89,'[27]Seguridad Información'!$I$61:$J$65,2,0),"")</f>
        <v>100</v>
      </c>
      <c r="AV89" s="524">
        <f t="shared" si="106"/>
        <v>90</v>
      </c>
      <c r="AW89" s="467">
        <f t="shared" si="95"/>
        <v>90</v>
      </c>
      <c r="AX89" s="467" t="str">
        <f t="shared" si="96"/>
        <v>Moderado</v>
      </c>
      <c r="AY89" s="467" t="str">
        <f>IFERROR(VLOOKUP((CONCATENATE(AM89,AX89)),[27]Listados!$U$3:$V$11,2,FALSE),"")</f>
        <v>Moderado</v>
      </c>
      <c r="AZ89" s="467">
        <f t="shared" si="99"/>
        <v>50</v>
      </c>
      <c r="BA89" s="468">
        <f>AVERAGE(AZ89:AZ90)</f>
        <v>25</v>
      </c>
      <c r="BB89" s="468" t="str">
        <f>IF(BA89&lt;=50, "Débil", IF(BA89&lt;=99,"Moderado","Fuerte"))</f>
        <v>Débil</v>
      </c>
      <c r="BC89" s="525">
        <f>+IF(AND(W89="Preventivo",BB89="Fuerte"),2,IF(AND(W89="Preventivo",BB89="Moderado"),1,0))</f>
        <v>0</v>
      </c>
      <c r="BD89" s="525">
        <f>+IF(AND(W89="Detectivo/Correctivo",$BB89="Fuerte"),2,IF(AND(W89="Detectivo/Correctivo",$BB89="Moderado"),1,IF(AND(W89="Preventivo",$BB89="Fuerte"),1,0)))</f>
        <v>0</v>
      </c>
      <c r="BE89" s="525">
        <f>+N89-BC89</f>
        <v>1</v>
      </c>
      <c r="BF89" s="525">
        <f>+P89-BD89</f>
        <v>1</v>
      </c>
      <c r="BG89" s="459" t="str">
        <f>+VLOOKUP(MIN(BE80,BE90),[26]Listados!$J$18:$K$24,2,TRUE)</f>
        <v>Rara Vez</v>
      </c>
      <c r="BH89" s="459" t="str">
        <f>+VLOOKUP(MIN(BF89,BF90),[26]Listados!$J$26:$K$32,2,TRUE)</f>
        <v>Insignificante</v>
      </c>
      <c r="BI89" s="456" t="str">
        <f>IF(AND(BG89&lt;&gt;"",BH89&lt;&gt;""),VLOOKUP(BG89&amp;BH89,[27]Listados!$M$3:$N$27,2,FALSE),"")</f>
        <v>Bajo</v>
      </c>
      <c r="BJ89" s="469" t="str">
        <f>+IF($R89="Asumir el riesgo","NA","")</f>
        <v>NA</v>
      </c>
      <c r="BK89" s="469" t="str">
        <f>+IF($R89="Asumir el riesgo","NA","")</f>
        <v>NA</v>
      </c>
      <c r="BL89" s="469" t="str">
        <f>+IF($R89="Asumir el riesgo","NA","")</f>
        <v>NA</v>
      </c>
      <c r="BM89" s="300" t="str">
        <f>+IF($R89="Asumir el riesgo","NA","")</f>
        <v>NA</v>
      </c>
    </row>
    <row r="90" spans="1:65" ht="90" thickBot="1">
      <c r="A90" s="355"/>
      <c r="B90" s="419"/>
      <c r="C90" s="420"/>
      <c r="D90" s="385"/>
      <c r="E90" s="125" t="s">
        <v>182</v>
      </c>
      <c r="F90" s="303"/>
      <c r="G90" s="303"/>
      <c r="H90" s="125" t="s">
        <v>184</v>
      </c>
      <c r="I90" s="125" t="s">
        <v>203</v>
      </c>
      <c r="J90" s="125" t="s">
        <v>211</v>
      </c>
      <c r="K90" s="125" t="s">
        <v>17</v>
      </c>
      <c r="L90" s="125" t="s">
        <v>215</v>
      </c>
      <c r="M90" s="303"/>
      <c r="N90" s="302"/>
      <c r="O90" s="303"/>
      <c r="P90" s="302"/>
      <c r="Q90" s="316"/>
      <c r="R90" s="302"/>
      <c r="S90" s="125" t="s">
        <v>224</v>
      </c>
      <c r="T90" s="125" t="s">
        <v>276</v>
      </c>
      <c r="U90" s="242" t="s">
        <v>590</v>
      </c>
      <c r="V90" s="242" t="s">
        <v>205</v>
      </c>
      <c r="W90" s="244" t="s">
        <v>21</v>
      </c>
      <c r="X90" s="184" t="s">
        <v>119</v>
      </c>
      <c r="Y90" s="125">
        <f t="shared" si="100"/>
        <v>15</v>
      </c>
      <c r="Z90" s="184" t="s">
        <v>119</v>
      </c>
      <c r="AA90" s="125">
        <f t="shared" si="101"/>
        <v>15</v>
      </c>
      <c r="AB90" s="125" t="s">
        <v>119</v>
      </c>
      <c r="AC90" s="125">
        <f t="shared" si="102"/>
        <v>15</v>
      </c>
      <c r="AD90" s="125" t="s">
        <v>119</v>
      </c>
      <c r="AE90" s="125">
        <f t="shared" si="103"/>
        <v>15</v>
      </c>
      <c r="AF90" s="125" t="s">
        <v>119</v>
      </c>
      <c r="AG90" s="125">
        <f t="shared" si="104"/>
        <v>15</v>
      </c>
      <c r="AH90" s="125" t="s">
        <v>119</v>
      </c>
      <c r="AI90" s="125">
        <f t="shared" si="105"/>
        <v>15</v>
      </c>
      <c r="AJ90" s="125" t="s">
        <v>120</v>
      </c>
      <c r="AK90" s="128">
        <f t="shared" si="94"/>
        <v>10</v>
      </c>
      <c r="AL90" s="150">
        <f t="shared" si="97"/>
        <v>100</v>
      </c>
      <c r="AM90" s="150" t="str">
        <f t="shared" si="98"/>
        <v>Fuerte</v>
      </c>
      <c r="AN90" s="245" t="s">
        <v>353</v>
      </c>
      <c r="AO90" s="248">
        <f>IFERROR(VLOOKUP(AN90,'[27]Seguridad Información'!$C$61:$D$63,2,0),"")</f>
        <v>60</v>
      </c>
      <c r="AP90" s="246" t="s">
        <v>350</v>
      </c>
      <c r="AQ90" s="248">
        <f>IFERROR(VLOOKUP(AP90,'[27]Seguridad Información'!$E$61:$F$64,2,0),"")</f>
        <v>100</v>
      </c>
      <c r="AR90" s="245" t="s">
        <v>355</v>
      </c>
      <c r="AS90" s="248">
        <f>IFERROR(VLOOKUP(AR90,'[27]Seguridad Información'!$G$61:$H$64,2,0),"")</f>
        <v>60</v>
      </c>
      <c r="AT90" s="245" t="s">
        <v>352</v>
      </c>
      <c r="AU90" s="247">
        <f>IFERROR(VLOOKUP(AT90,'[27]Seguridad Información'!$I$61:$J$65,2,0),"")</f>
        <v>100</v>
      </c>
      <c r="AV90" s="247">
        <f t="shared" si="106"/>
        <v>80</v>
      </c>
      <c r="AW90" s="150">
        <f t="shared" si="95"/>
        <v>80</v>
      </c>
      <c r="AX90" s="150" t="str">
        <f t="shared" si="96"/>
        <v>Débil</v>
      </c>
      <c r="AY90" s="150" t="str">
        <f>IFERROR(VLOOKUP((CONCATENATE(AM90,AX90)),[27]Listados!$U$3:$V$11,2,FALSE),"")</f>
        <v>Débil</v>
      </c>
      <c r="AZ90" s="150">
        <f t="shared" si="99"/>
        <v>0</v>
      </c>
      <c r="BA90" s="387"/>
      <c r="BB90" s="387"/>
      <c r="BC90" s="243">
        <f>+IF(AND(W90="Preventivo",BB89="Fuerte"),2,IF(AND(W90="Preventivo",BB89="Moderado"),1,0))</f>
        <v>0</v>
      </c>
      <c r="BD90" s="243">
        <f>+IF(AND(W90="Detectivo/Correctivo",$BB89="Fuerte"),2,IF(AND(W90="Detectivo/Correctivo",$BB90="Moderado"),1,IF(AND(W90="Preventivo",$BB89="Fuerte"),1,0)))</f>
        <v>0</v>
      </c>
      <c r="BE90" s="243">
        <f>+N89-BC90</f>
        <v>1</v>
      </c>
      <c r="BF90" s="243">
        <f>+P89-BD90</f>
        <v>1</v>
      </c>
      <c r="BG90" s="302"/>
      <c r="BH90" s="302"/>
      <c r="BI90" s="316"/>
      <c r="BJ90" s="303"/>
      <c r="BK90" s="303"/>
      <c r="BL90" s="303"/>
      <c r="BM90" s="306"/>
    </row>
    <row r="91" spans="1:65" ht="114.75">
      <c r="A91" s="319">
        <v>1</v>
      </c>
      <c r="B91" s="313" t="s">
        <v>40</v>
      </c>
      <c r="C91" s="410" t="str">
        <f>IFERROR(VLOOKUP(B91,[28]Listados!B$3:C$20,2,FALSE),"")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91" s="309" t="s">
        <v>591</v>
      </c>
      <c r="E91" s="107" t="s">
        <v>181</v>
      </c>
      <c r="F91" s="311" t="s">
        <v>181</v>
      </c>
      <c r="G91" s="311" t="s">
        <v>198</v>
      </c>
      <c r="H91" s="108" t="s">
        <v>187</v>
      </c>
      <c r="I91" s="108" t="s">
        <v>202</v>
      </c>
      <c r="J91" s="108" t="s">
        <v>208</v>
      </c>
      <c r="K91" s="109" t="s">
        <v>17</v>
      </c>
      <c r="L91" s="109" t="s">
        <v>216</v>
      </c>
      <c r="M91" s="313" t="s">
        <v>22</v>
      </c>
      <c r="N91" s="315">
        <f>+VLOOKUP(M91,[28]Listados!$K$8:$L$12,2,0)</f>
        <v>1</v>
      </c>
      <c r="O91" s="317" t="s">
        <v>33</v>
      </c>
      <c r="P91" s="315">
        <f>+VLOOKUP(O91,[28]Listados!$K$13:$L$17,2,0)</f>
        <v>2</v>
      </c>
      <c r="Q91" s="297" t="str">
        <f>IF(AND(M91&lt;&gt;"",O91&lt;&gt;""),VLOOKUP(M91&amp;O91,[28]Listados!$M$3:$N$27,2,FALSE),"")</f>
        <v>Bajo</v>
      </c>
      <c r="R91" s="297" t="str">
        <f>+VLOOKUP(Q91,[28]Listados!$P$3:$Q$6,2,FALSE)</f>
        <v>Asumir el riesgo</v>
      </c>
      <c r="S91" s="110" t="s">
        <v>225</v>
      </c>
      <c r="T91" s="110" t="s">
        <v>339</v>
      </c>
      <c r="U91" s="111" t="s">
        <v>587</v>
      </c>
      <c r="V91" s="111" t="s">
        <v>208</v>
      </c>
      <c r="W91" s="112" t="s">
        <v>21</v>
      </c>
      <c r="X91" s="110" t="s">
        <v>119</v>
      </c>
      <c r="Y91" s="110">
        <f t="shared" si="100"/>
        <v>15</v>
      </c>
      <c r="Z91" s="110" t="s">
        <v>119</v>
      </c>
      <c r="AA91" s="110">
        <f t="shared" si="101"/>
        <v>15</v>
      </c>
      <c r="AB91" s="110" t="s">
        <v>119</v>
      </c>
      <c r="AC91" s="110">
        <f t="shared" si="102"/>
        <v>15</v>
      </c>
      <c r="AD91" s="110" t="s">
        <v>119</v>
      </c>
      <c r="AE91" s="110">
        <f t="shared" si="103"/>
        <v>15</v>
      </c>
      <c r="AF91" s="110" t="s">
        <v>119</v>
      </c>
      <c r="AG91" s="110">
        <f t="shared" si="104"/>
        <v>15</v>
      </c>
      <c r="AH91" s="110" t="s">
        <v>119</v>
      </c>
      <c r="AI91" s="110">
        <f t="shared" si="105"/>
        <v>15</v>
      </c>
      <c r="AJ91" s="110" t="s">
        <v>120</v>
      </c>
      <c r="AK91" s="113">
        <f>+IF(AJ91="Completa",10,IF(AJ91="Incompleta",5,""))</f>
        <v>10</v>
      </c>
      <c r="AL91" s="114">
        <f>IF((SUM(Y91,AA91,AC91,AE91,AG91,AI91,AK91)=0),"",(SUM(Y91,AA91,AC91,AE91,AG91,AI91,AK91)))</f>
        <v>100</v>
      </c>
      <c r="AM91" s="114" t="str">
        <f>IF(AL91&lt;=85,"Débil",IF(AL91&lt;=95,"Moderado",IF(AL91=100,"Fuerte","")))</f>
        <v>Fuerte</v>
      </c>
      <c r="AN91" s="140" t="s">
        <v>349</v>
      </c>
      <c r="AO91" s="140">
        <f>IFERROR(VLOOKUP(AN91,'[28]Seguridad Información'!$C$61:$D$63,2,0),"")</f>
        <v>100</v>
      </c>
      <c r="AP91" s="140" t="s">
        <v>350</v>
      </c>
      <c r="AQ91" s="140">
        <f>IFERROR(VLOOKUP(AP91,'[28]Seguridad Información'!$E$61:$F$64,2,0),"")</f>
        <v>100</v>
      </c>
      <c r="AR91" s="140" t="s">
        <v>355</v>
      </c>
      <c r="AS91" s="140">
        <f>IFERROR(VLOOKUP(AR91,'[28]Seguridad Información'!$G$61:$H$64,2,0),"")</f>
        <v>60</v>
      </c>
      <c r="AT91" s="140" t="s">
        <v>352</v>
      </c>
      <c r="AU91" s="182">
        <f>IFERROR(VLOOKUP(AT91,'[28]Seguridad Información'!$I$61:$J$65,2,0),"")</f>
        <v>100</v>
      </c>
      <c r="AV91" s="117"/>
      <c r="AW91" s="118">
        <f>IFERROR(AVERAGE(AO91,AQ91,AS91,AU91),"")</f>
        <v>90</v>
      </c>
      <c r="AX91" s="114" t="str">
        <f>IF(AW91&lt;=80,"Débil",IF(AW91&lt;=90,"Moderado",IF(AW91=100,"Fuerte","")))</f>
        <v>Moderado</v>
      </c>
      <c r="AY91" s="118" t="str">
        <f>IFERROR(VLOOKUP((CONCATENATE(AM91,AX91)),[28]Listados!$U$3:$V$11,2,FALSE),"")</f>
        <v>Moderado</v>
      </c>
      <c r="AZ91" s="114">
        <f>IF(ISBLANK(AY91),"",IF(AY91="Débil", 0, IF(AY91="Moderado",50,100)))</f>
        <v>50</v>
      </c>
      <c r="BA91" s="323">
        <f>AVERAGE(AZ91:AZ92)</f>
        <v>25</v>
      </c>
      <c r="BB91" s="323" t="str">
        <f>IF(BA91&lt;=50, "Débil", IF(BA91&lt;=99,"Moderado","Fuerte"))</f>
        <v>Débil</v>
      </c>
      <c r="BC91" s="119">
        <f>+IF(AND(W91="Preventivo",BB91="Fuerte"),2,IF(AND(W91="Preventivo",BB91="Moderado"),1,0))</f>
        <v>0</v>
      </c>
      <c r="BD91" s="119">
        <f>+IF(AND(W91="Detectivo/Correctivo",$BB91="Fuerte"),2,IF(AND(W91="Detectivo/Correctivo",$BB91="Moderado"),1,IF(AND(W91="Preventivo",$BB91="Fuerte"),1,0)))</f>
        <v>0</v>
      </c>
      <c r="BE91" s="119">
        <f>+N91-BC91</f>
        <v>1</v>
      </c>
      <c r="BF91" s="119">
        <f>+P91-BD91</f>
        <v>2</v>
      </c>
      <c r="BG91" s="297" t="str">
        <f>+VLOOKUP(MIN(BE91,BE92),[28]Listados!$J$18:$K$24,2,TRUE)</f>
        <v>Rara Vez</v>
      </c>
      <c r="BH91" s="297" t="str">
        <f>+VLOOKUP(MIN(BF91,BF92),[28]Listados!$J$26:$K$32,2,TRUE)</f>
        <v>Menor</v>
      </c>
      <c r="BI91" s="297" t="str">
        <f>IF(AND(BG91&lt;&gt;"",BH91&lt;&gt;""),VLOOKUP(BG91&amp;BH91,[28]Listados!$M$3:$N$27,2,FALSE),"")</f>
        <v>Bajo</v>
      </c>
      <c r="BJ91" s="298" t="str">
        <f>+IF($R91="Asumir el riesgo","NA","")</f>
        <v>NA</v>
      </c>
      <c r="BK91" s="298" t="str">
        <f>+IF($R91="Asumir el riesgo","NA","")</f>
        <v>NA</v>
      </c>
      <c r="BL91" s="298" t="str">
        <f>+IF($R91="Asumir el riesgo","NA","")</f>
        <v>NA</v>
      </c>
      <c r="BM91" s="305" t="str">
        <f>+IF($R91="Asumir el riesgo","NA","")</f>
        <v>NA</v>
      </c>
    </row>
    <row r="92" spans="1:65" ht="114.75">
      <c r="A92" s="320"/>
      <c r="B92" s="455"/>
      <c r="C92" s="513"/>
      <c r="D92" s="321"/>
      <c r="E92" s="40" t="s">
        <v>180</v>
      </c>
      <c r="F92" s="452"/>
      <c r="G92" s="452"/>
      <c r="H92" s="471" t="s">
        <v>186</v>
      </c>
      <c r="I92" s="22" t="s">
        <v>201</v>
      </c>
      <c r="J92" s="471" t="s">
        <v>204</v>
      </c>
      <c r="K92" s="472" t="s">
        <v>17</v>
      </c>
      <c r="L92" s="23" t="s">
        <v>216</v>
      </c>
      <c r="M92" s="455"/>
      <c r="N92" s="456"/>
      <c r="O92" s="457"/>
      <c r="P92" s="456"/>
      <c r="Q92" s="459"/>
      <c r="R92" s="459"/>
      <c r="S92" s="460" t="s">
        <v>221</v>
      </c>
      <c r="T92" s="460" t="s">
        <v>297</v>
      </c>
      <c r="U92" s="461" t="s">
        <v>592</v>
      </c>
      <c r="V92" s="461" t="s">
        <v>204</v>
      </c>
      <c r="W92" s="473" t="s">
        <v>21</v>
      </c>
      <c r="X92" s="460" t="s">
        <v>119</v>
      </c>
      <c r="Y92" s="460">
        <f t="shared" si="100"/>
        <v>15</v>
      </c>
      <c r="Z92" s="460" t="s">
        <v>119</v>
      </c>
      <c r="AA92" s="460">
        <f t="shared" si="101"/>
        <v>15</v>
      </c>
      <c r="AB92" s="460" t="s">
        <v>119</v>
      </c>
      <c r="AC92" s="460">
        <f t="shared" si="102"/>
        <v>15</v>
      </c>
      <c r="AD92" s="460" t="s">
        <v>119</v>
      </c>
      <c r="AE92" s="460">
        <f t="shared" si="103"/>
        <v>15</v>
      </c>
      <c r="AF92" s="460" t="s">
        <v>119</v>
      </c>
      <c r="AG92" s="460">
        <f t="shared" si="104"/>
        <v>15</v>
      </c>
      <c r="AH92" s="460" t="s">
        <v>119</v>
      </c>
      <c r="AI92" s="460">
        <f>+IF(AH92="si",15,"")</f>
        <v>15</v>
      </c>
      <c r="AJ92" s="460" t="s">
        <v>120</v>
      </c>
      <c r="AK92" s="462">
        <f t="shared" ref="AK92:AK95" si="107">+IF(AJ92="Completa",10,IF(AJ92="Incompleta",5,""))</f>
        <v>10</v>
      </c>
      <c r="AL92" s="463">
        <f>IF((SUM(Y92,AA92,AC92,AE92,AG92,AI92,AK92)=0),"",(SUM(Y92,AA92,AC92,AE92,AG92,AI92,AK92)))</f>
        <v>100</v>
      </c>
      <c r="AM92" s="463" t="str">
        <f>IF(AL92&lt;=85,"Débil",IF(AL92&lt;=95,"Moderado",IF(AL92=100,"Fuerte","")))</f>
        <v>Fuerte</v>
      </c>
      <c r="AN92" s="465" t="s">
        <v>357</v>
      </c>
      <c r="AO92" s="106">
        <f>IFERROR(VLOOKUP(AN92,'[28]Seguridad Información'!$C$61:$D$63,2,0),"")</f>
        <v>20</v>
      </c>
      <c r="AP92" s="465" t="s">
        <v>350</v>
      </c>
      <c r="AQ92" s="106">
        <f>IFERROR(VLOOKUP(AP92,'[28]Seguridad Información'!$E$61:$F$64,2,0),"")</f>
        <v>100</v>
      </c>
      <c r="AR92" s="465" t="s">
        <v>351</v>
      </c>
      <c r="AS92" s="106">
        <f>IFERROR(VLOOKUP(AR92,'[28]Seguridad Información'!$G$61:$H$64,2,0),"")</f>
        <v>100</v>
      </c>
      <c r="AT92" s="465" t="s">
        <v>352</v>
      </c>
      <c r="AU92" s="474">
        <f>IFERROR(VLOOKUP(AT92,'[28]Seguridad Información'!$I$61:$J$65,2,0),"")</f>
        <v>100</v>
      </c>
      <c r="AV92" s="444"/>
      <c r="AW92" s="475">
        <f t="shared" ref="AW92:AW95" si="108">IFERROR(AVERAGE(AO92,AQ92,AS92,AU92),"")</f>
        <v>80</v>
      </c>
      <c r="AX92" s="463" t="str">
        <f t="shared" ref="AX92:AX95" si="109">IF(AW92&lt;=80,"Débil",IF(AW92&lt;=90,"Moderado",IF(AW92=100,"Fuerte","")))</f>
        <v>Débil</v>
      </c>
      <c r="AY92" s="475" t="str">
        <f>IFERROR(VLOOKUP((CONCATENATE(AM92,AX92)),[28]Listados!$U$3:$V$11,2,FALSE),"")</f>
        <v>Débil</v>
      </c>
      <c r="AZ92" s="463">
        <f>IF(ISBLANK(AY92),"",IF(AY92="Débil", 0, IF(AY92="Moderado",50,100)))</f>
        <v>0</v>
      </c>
      <c r="BA92" s="476"/>
      <c r="BB92" s="476"/>
      <c r="BC92" s="477">
        <f>+IF(AND(W92="Preventivo",BB91="Fuerte"),2,IF(AND(W92="Preventivo",BB91="Moderado"),1,0))</f>
        <v>0</v>
      </c>
      <c r="BD92" s="477">
        <f>+IF(AND(W92="Detectivo/Correctivo",$BB91="Fuerte"),2,IF(AND(W92="Detectivo/Correctivo",$BB92="Moderado"),1,IF(AND(W92="Preventivo",$BB91="Fuerte"),1,0)))</f>
        <v>0</v>
      </c>
      <c r="BE92" s="477">
        <f>+N91-BC92</f>
        <v>1</v>
      </c>
      <c r="BF92" s="477">
        <f>+P91-BD92</f>
        <v>2</v>
      </c>
      <c r="BG92" s="459"/>
      <c r="BH92" s="459"/>
      <c r="BI92" s="459"/>
      <c r="BJ92" s="469"/>
      <c r="BK92" s="469"/>
      <c r="BL92" s="469"/>
      <c r="BM92" s="300"/>
    </row>
    <row r="93" spans="1:65" ht="127.5">
      <c r="A93" s="100">
        <v>2</v>
      </c>
      <c r="B93" s="487" t="s">
        <v>40</v>
      </c>
      <c r="C93" s="533" t="str">
        <f>IFERROR(VLOOKUP(B91,[28]Listados!B$3:C$20,2,FALSE),"")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93" s="151" t="s">
        <v>593</v>
      </c>
      <c r="E93" s="40" t="s">
        <v>182</v>
      </c>
      <c r="F93" s="454" t="s">
        <v>182</v>
      </c>
      <c r="G93" s="102" t="s">
        <v>199</v>
      </c>
      <c r="H93" s="471" t="s">
        <v>185</v>
      </c>
      <c r="I93" s="22" t="s">
        <v>203</v>
      </c>
      <c r="J93" s="471" t="s">
        <v>206</v>
      </c>
      <c r="K93" s="472" t="s">
        <v>17</v>
      </c>
      <c r="L93" s="23" t="s">
        <v>216</v>
      </c>
      <c r="M93" s="487" t="s">
        <v>45</v>
      </c>
      <c r="N93" s="489">
        <f>+VLOOKUP(M93,[28]Listados!$K$8:$L$12,2,0)</f>
        <v>3</v>
      </c>
      <c r="O93" s="490" t="s">
        <v>33</v>
      </c>
      <c r="P93" s="489">
        <f>+VLOOKUP(O93,[28]Listados!$K$13:$L$17,2,0)</f>
        <v>2</v>
      </c>
      <c r="Q93" s="534" t="str">
        <f>IF(AND(M93&lt;&gt;"",O93&lt;&gt;""),VLOOKUP(M93&amp;O93,[28]Listados!$M$3:$N$27,2,FALSE),"")</f>
        <v>Moderado</v>
      </c>
      <c r="R93" s="462" t="str">
        <f>+VLOOKUP(Q93,[28]Listados!$P$3:$Q$6,2,FALSE)</f>
        <v xml:space="preserve"> Reducir el riesgo</v>
      </c>
      <c r="S93" s="460" t="s">
        <v>225</v>
      </c>
      <c r="T93" s="460" t="s">
        <v>239</v>
      </c>
      <c r="U93" s="48" t="s">
        <v>594</v>
      </c>
      <c r="V93" s="461" t="s">
        <v>206</v>
      </c>
      <c r="W93" s="473" t="s">
        <v>21</v>
      </c>
      <c r="X93" s="460" t="s">
        <v>119</v>
      </c>
      <c r="Y93" s="460">
        <f t="shared" si="100"/>
        <v>15</v>
      </c>
      <c r="Z93" s="460" t="s">
        <v>119</v>
      </c>
      <c r="AA93" s="460">
        <f t="shared" si="101"/>
        <v>15</v>
      </c>
      <c r="AB93" s="460" t="s">
        <v>119</v>
      </c>
      <c r="AC93" s="460">
        <f t="shared" si="102"/>
        <v>15</v>
      </c>
      <c r="AD93" s="460" t="s">
        <v>119</v>
      </c>
      <c r="AE93" s="460">
        <f t="shared" si="103"/>
        <v>15</v>
      </c>
      <c r="AF93" s="460" t="s">
        <v>119</v>
      </c>
      <c r="AG93" s="460">
        <f t="shared" si="104"/>
        <v>15</v>
      </c>
      <c r="AH93" s="460" t="s">
        <v>119</v>
      </c>
      <c r="AI93" s="460">
        <f>+IF(AH93="si",15,"")</f>
        <v>15</v>
      </c>
      <c r="AJ93" s="460" t="s">
        <v>120</v>
      </c>
      <c r="AK93" s="462">
        <f t="shared" si="107"/>
        <v>10</v>
      </c>
      <c r="AL93" s="463">
        <f>IF((SUM(Y93,AA93,AC93,AE93,AG93,AI93,AK93)=0),"",(SUM(Y93,AA93,AC93,AE93,AG93,AI93,AK93)))</f>
        <v>100</v>
      </c>
      <c r="AM93" s="463" t="str">
        <f>IF(AL93&lt;=85,"Débil",IF(AL93&lt;=95,"Moderado",IF(AL93=100,"Fuerte","")))</f>
        <v>Fuerte</v>
      </c>
      <c r="AN93" s="465" t="s">
        <v>349</v>
      </c>
      <c r="AO93" s="106">
        <f>IFERROR(VLOOKUP(AN93,'[28]Seguridad Información'!$C$61:$D$63,2,0),"")</f>
        <v>100</v>
      </c>
      <c r="AP93" s="465" t="s">
        <v>350</v>
      </c>
      <c r="AQ93" s="106">
        <f>IFERROR(VLOOKUP(AP93,'[28]Seguridad Información'!$E$61:$F$64,2,0),"")</f>
        <v>100</v>
      </c>
      <c r="AR93" s="465" t="s">
        <v>355</v>
      </c>
      <c r="AS93" s="106">
        <f>IFERROR(VLOOKUP(AR93,'[28]Seguridad Información'!$G$61:$H$64,2,0),"")</f>
        <v>60</v>
      </c>
      <c r="AT93" s="465" t="s">
        <v>352</v>
      </c>
      <c r="AU93" s="474">
        <f>IFERROR(VLOOKUP(AT93,'[28]Seguridad Información'!$I$61:$J$65,2,0),"")</f>
        <v>100</v>
      </c>
      <c r="AV93" s="444"/>
      <c r="AW93" s="475">
        <f t="shared" si="108"/>
        <v>90</v>
      </c>
      <c r="AX93" s="463" t="str">
        <f t="shared" si="109"/>
        <v>Moderado</v>
      </c>
      <c r="AY93" s="475" t="str">
        <f>IFERROR(VLOOKUP((CONCATENATE(AM93,AX93)),[28]Listados!$U$3:$V$11,2,FALSE),"")</f>
        <v>Moderado</v>
      </c>
      <c r="AZ93" s="463">
        <f>IF(ISBLANK(AY93),"",IF(AY93="Débil", 0, IF(AY93="Moderado",50,100)))</f>
        <v>50</v>
      </c>
      <c r="BA93" s="463">
        <f>AVERAGE(AZ93)</f>
        <v>50</v>
      </c>
      <c r="BB93" s="463" t="str">
        <f>IF(BA93&lt;=50, "Débil", IF(BA93&lt;=99,"Moderado","Fuerte"))</f>
        <v>Débil</v>
      </c>
      <c r="BC93" s="477">
        <f>+IF(AND(W93="Preventivo",BB92="Fuerte"),2,IF(AND(W93="Preventivo",BB92="Moderado"),1,0))</f>
        <v>0</v>
      </c>
      <c r="BD93" s="477">
        <f>+IF(AND(W93="Detectivo/Correctivo",$BB92="Fuerte"),2,IF(AND(W93="Detectivo/Correctivo",$BB93="Moderado"),1,IF(AND(W93="Preventivo",$BB92="Fuerte"),1,0)))</f>
        <v>0</v>
      </c>
      <c r="BE93" s="477">
        <f>+N93-BC93</f>
        <v>3</v>
      </c>
      <c r="BF93" s="477">
        <f>+P93-BD93</f>
        <v>2</v>
      </c>
      <c r="BG93" s="462" t="str">
        <f>+VLOOKUP(BE93,[28]Listados!$J$18:$K$24,2,TRUE)</f>
        <v>Posible</v>
      </c>
      <c r="BH93" s="462" t="str">
        <f>+VLOOKUP(BF93,[28]Listados!$J$26:$K$32,2,TRUE)</f>
        <v>Menor</v>
      </c>
      <c r="BI93" s="534" t="str">
        <f>IF(AND(BG93&lt;&gt;"",BH93&lt;&gt;""),VLOOKUP(BG93&amp;BH93,[28]Listados!$M$3:$N$27,2,FALSE),"")</f>
        <v>Moderado</v>
      </c>
      <c r="BJ93" s="460" t="s">
        <v>595</v>
      </c>
      <c r="BK93" s="535">
        <v>45323</v>
      </c>
      <c r="BL93" s="460" t="s">
        <v>496</v>
      </c>
      <c r="BM93" s="104" t="s">
        <v>596</v>
      </c>
    </row>
    <row r="94" spans="1:65" ht="114.75">
      <c r="A94" s="320">
        <v>3</v>
      </c>
      <c r="B94" s="469" t="s">
        <v>40</v>
      </c>
      <c r="C94" s="513" t="str">
        <f>IFERROR(VLOOKUP(B94,[28]Listados!B$3:C$20,2,FALSE),"")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94" s="357" t="s">
        <v>597</v>
      </c>
      <c r="E94" s="40" t="s">
        <v>182</v>
      </c>
      <c r="F94" s="452" t="s">
        <v>182</v>
      </c>
      <c r="G94" s="358" t="s">
        <v>199</v>
      </c>
      <c r="H94" s="471" t="s">
        <v>188</v>
      </c>
      <c r="I94" s="22" t="s">
        <v>203</v>
      </c>
      <c r="J94" s="471" t="s">
        <v>211</v>
      </c>
      <c r="K94" s="472" t="s">
        <v>17</v>
      </c>
      <c r="L94" s="23" t="s">
        <v>216</v>
      </c>
      <c r="M94" s="455" t="s">
        <v>22</v>
      </c>
      <c r="N94" s="456">
        <f>+VLOOKUP(M94,[28]Listados!$K$8:$L$12,2,0)</f>
        <v>1</v>
      </c>
      <c r="O94" s="457" t="s">
        <v>33</v>
      </c>
      <c r="P94" s="456">
        <f>+VLOOKUP(O94,[28]Listados!$K$13:$L$17,2,0)</f>
        <v>2</v>
      </c>
      <c r="Q94" s="459" t="str">
        <f>IF(AND(M94&lt;&gt;"",O94&lt;&gt;""),VLOOKUP(M94&amp;O94,[28]Listados!$M$3:$N$27,2,FALSE),"")</f>
        <v>Bajo</v>
      </c>
      <c r="R94" s="459" t="str">
        <f>+VLOOKUP(Q94,[28]Listados!$P$3:$Q$6,2,FALSE)</f>
        <v>Asumir el riesgo</v>
      </c>
      <c r="S94" s="460" t="s">
        <v>220</v>
      </c>
      <c r="T94" s="460" t="s">
        <v>248</v>
      </c>
      <c r="U94" s="48" t="s">
        <v>458</v>
      </c>
      <c r="V94" s="461" t="s">
        <v>211</v>
      </c>
      <c r="W94" s="479" t="s">
        <v>21</v>
      </c>
      <c r="X94" s="460" t="s">
        <v>119</v>
      </c>
      <c r="Y94" s="460">
        <f t="shared" si="100"/>
        <v>15</v>
      </c>
      <c r="Z94" s="480" t="s">
        <v>119</v>
      </c>
      <c r="AA94" s="460">
        <f t="shared" si="101"/>
        <v>15</v>
      </c>
      <c r="AB94" s="460" t="s">
        <v>119</v>
      </c>
      <c r="AC94" s="460">
        <f t="shared" si="102"/>
        <v>15</v>
      </c>
      <c r="AD94" s="460" t="s">
        <v>119</v>
      </c>
      <c r="AE94" s="460">
        <f t="shared" si="103"/>
        <v>15</v>
      </c>
      <c r="AF94" s="460" t="s">
        <v>119</v>
      </c>
      <c r="AG94" s="460">
        <f t="shared" si="104"/>
        <v>15</v>
      </c>
      <c r="AH94" s="460" t="s">
        <v>119</v>
      </c>
      <c r="AI94" s="460">
        <f t="shared" si="105"/>
        <v>15</v>
      </c>
      <c r="AJ94" s="460" t="s">
        <v>120</v>
      </c>
      <c r="AK94" s="462">
        <f t="shared" si="107"/>
        <v>10</v>
      </c>
      <c r="AL94" s="463">
        <f t="shared" ref="AL94:AL95" si="110">IF((SUM(Y94,AA94,AC94,AE94,AG94,AI94,AK94)=0),"",(SUM(Y94,AA94,AC94,AE94,AG94,AI94,AK94)))</f>
        <v>100</v>
      </c>
      <c r="AM94" s="463" t="str">
        <f t="shared" ref="AM94:AM95" si="111">IF(AL94&lt;=85,"Débil",IF(AL94&lt;=95,"Moderado",IF(AL94=100,"Fuerte","")))</f>
        <v>Fuerte</v>
      </c>
      <c r="AN94" s="465" t="s">
        <v>357</v>
      </c>
      <c r="AO94" s="106">
        <f>IFERROR(VLOOKUP(AN94,'[28]Seguridad Información'!$C$61:$D$63,2,0),"")</f>
        <v>20</v>
      </c>
      <c r="AP94" s="465" t="s">
        <v>350</v>
      </c>
      <c r="AQ94" s="106">
        <f>IFERROR(VLOOKUP(AP94,'[28]Seguridad Información'!$E$61:$F$64,2,0),"")</f>
        <v>100</v>
      </c>
      <c r="AR94" s="465" t="s">
        <v>355</v>
      </c>
      <c r="AS94" s="106">
        <f>IFERROR(VLOOKUP(AR94,'[28]Seguridad Información'!$G$61:$H$64,2,0),"")</f>
        <v>60</v>
      </c>
      <c r="AT94" s="465" t="s">
        <v>352</v>
      </c>
      <c r="AU94" s="444">
        <f>IFERROR(VLOOKUP(AT94,'[28]Seguridad Información'!$I$61:$J$65,2,0),"")</f>
        <v>100</v>
      </c>
      <c r="AV94" s="444"/>
      <c r="AW94" s="475">
        <f t="shared" si="108"/>
        <v>70</v>
      </c>
      <c r="AX94" s="463" t="str">
        <f t="shared" si="109"/>
        <v>Débil</v>
      </c>
      <c r="AY94" s="475" t="str">
        <f>IFERROR(VLOOKUP((CONCATENATE(AM94,AX94)),[28]Listados!$U$3:$V$11,2,FALSE),"")</f>
        <v>Débil</v>
      </c>
      <c r="AZ94" s="463">
        <f t="shared" ref="AZ94:AZ95" si="112">IF(ISBLANK(AY94),"",IF(AY94="Débil", 0, IF(AY94="Moderado",50,100)))</f>
        <v>0</v>
      </c>
      <c r="BA94" s="476">
        <f>AVERAGE(AZ94:AZ95)</f>
        <v>0</v>
      </c>
      <c r="BB94" s="476" t="str">
        <f>IF(BA94&lt;=50, "Débil", IF(BA94&lt;=99,"Moderado","Fuerte"))</f>
        <v>Débil</v>
      </c>
      <c r="BC94" s="477">
        <f>+IF(AND(W94="Preventivo",BB94="Fuerte"),2,IF(AND(W94="Preventivo",BB94="Moderado"),1,0))</f>
        <v>0</v>
      </c>
      <c r="BD94" s="477">
        <f>+IF(AND(W94="Detectivo/Correctivo",$BB94="Fuerte"),2,IF(AND(W94="Detectivo/Correctivo",$BB94="Moderado"),1,IF(AND(W94="Preventivo",$BB94="Fuerte"),1,0)))</f>
        <v>0</v>
      </c>
      <c r="BE94" s="477">
        <f>+N94-BC94</f>
        <v>1</v>
      </c>
      <c r="BF94" s="477">
        <f>+P94-BD94</f>
        <v>2</v>
      </c>
      <c r="BG94" s="459" t="str">
        <f>+VLOOKUP(MIN(BE94,BE95),[28]Listados!$J$18:$K$24,2,TRUE)</f>
        <v>Rara Vez</v>
      </c>
      <c r="BH94" s="459" t="str">
        <f>+VLOOKUP(MIN(BF94,BF95),[28]Listados!$J$26:$K$32,2,TRUE)</f>
        <v>Menor</v>
      </c>
      <c r="BI94" s="459" t="str">
        <f>IF(AND(BG94&lt;&gt;"",BH94&lt;&gt;""),VLOOKUP(BG94&amp;BH94,[28]Listados!$M$3:$N$27,2,FALSE),"")</f>
        <v>Bajo</v>
      </c>
      <c r="BJ94" s="469" t="str">
        <f>+IF($R94="Asumir el riesgo","NA","")</f>
        <v>NA</v>
      </c>
      <c r="BK94" s="469" t="str">
        <f>+IF($R94="Asumir el riesgo","NA","")</f>
        <v>NA</v>
      </c>
      <c r="BL94" s="469" t="str">
        <f>+IF($R94="Asumir el riesgo","NA","")</f>
        <v>NA</v>
      </c>
      <c r="BM94" s="300" t="str">
        <f>+IF($R94="Asumir el riesgo","NA","")</f>
        <v>NA</v>
      </c>
    </row>
    <row r="95" spans="1:65" ht="115.5" thickBot="1">
      <c r="A95" s="355"/>
      <c r="B95" s="303"/>
      <c r="C95" s="421"/>
      <c r="D95" s="310"/>
      <c r="E95" s="120" t="s">
        <v>182</v>
      </c>
      <c r="F95" s="312"/>
      <c r="G95" s="312"/>
      <c r="H95" s="121" t="s">
        <v>191</v>
      </c>
      <c r="I95" s="122" t="s">
        <v>203</v>
      </c>
      <c r="J95" s="121" t="s">
        <v>211</v>
      </c>
      <c r="K95" s="123" t="s">
        <v>17</v>
      </c>
      <c r="L95" s="124" t="s">
        <v>216</v>
      </c>
      <c r="M95" s="314"/>
      <c r="N95" s="316"/>
      <c r="O95" s="318"/>
      <c r="P95" s="316"/>
      <c r="Q95" s="302"/>
      <c r="R95" s="302"/>
      <c r="S95" s="125" t="s">
        <v>220</v>
      </c>
      <c r="T95" s="125" t="s">
        <v>296</v>
      </c>
      <c r="U95" s="126" t="s">
        <v>544</v>
      </c>
      <c r="V95" s="126" t="s">
        <v>211</v>
      </c>
      <c r="W95" s="183" t="s">
        <v>21</v>
      </c>
      <c r="X95" s="125" t="s">
        <v>119</v>
      </c>
      <c r="Y95" s="125">
        <f t="shared" si="100"/>
        <v>15</v>
      </c>
      <c r="Z95" s="184" t="s">
        <v>119</v>
      </c>
      <c r="AA95" s="125">
        <f t="shared" si="101"/>
        <v>15</v>
      </c>
      <c r="AB95" s="125" t="s">
        <v>119</v>
      </c>
      <c r="AC95" s="125">
        <f t="shared" si="102"/>
        <v>15</v>
      </c>
      <c r="AD95" s="125" t="s">
        <v>119</v>
      </c>
      <c r="AE95" s="125">
        <f t="shared" si="103"/>
        <v>15</v>
      </c>
      <c r="AF95" s="125" t="s">
        <v>119</v>
      </c>
      <c r="AG95" s="125">
        <f t="shared" si="104"/>
        <v>15</v>
      </c>
      <c r="AH95" s="125" t="s">
        <v>119</v>
      </c>
      <c r="AI95" s="125">
        <f t="shared" si="105"/>
        <v>15</v>
      </c>
      <c r="AJ95" s="125" t="s">
        <v>120</v>
      </c>
      <c r="AK95" s="128">
        <f t="shared" si="107"/>
        <v>10</v>
      </c>
      <c r="AL95" s="129">
        <f t="shared" si="110"/>
        <v>100</v>
      </c>
      <c r="AM95" s="129" t="str">
        <f t="shared" si="111"/>
        <v>Fuerte</v>
      </c>
      <c r="AN95" s="148" t="s">
        <v>357</v>
      </c>
      <c r="AO95" s="185">
        <f>IFERROR(VLOOKUP(AN95,'[28]Seguridad Información'!$C$61:$D$63,2,0),"")</f>
        <v>20</v>
      </c>
      <c r="AP95" s="148" t="s">
        <v>350</v>
      </c>
      <c r="AQ95" s="185">
        <f>IFERROR(VLOOKUP(AP95,'[28]Seguridad Información'!$E$61:$F$64,2,0),"")</f>
        <v>100</v>
      </c>
      <c r="AR95" s="148" t="s">
        <v>355</v>
      </c>
      <c r="AS95" s="185">
        <f>IFERROR(VLOOKUP(AR95,'[28]Seguridad Información'!$G$61:$H$64,2,0),"")</f>
        <v>60</v>
      </c>
      <c r="AT95" s="148" t="s">
        <v>352</v>
      </c>
      <c r="AU95" s="133">
        <f>IFERROR(VLOOKUP(AT95,'[28]Seguridad Información'!$I$61:$J$65,2,0),"")</f>
        <v>100</v>
      </c>
      <c r="AV95" s="133"/>
      <c r="AW95" s="134">
        <f t="shared" si="108"/>
        <v>70</v>
      </c>
      <c r="AX95" s="129" t="str">
        <f t="shared" si="109"/>
        <v>Débil</v>
      </c>
      <c r="AY95" s="134" t="str">
        <f>IFERROR(VLOOKUP((CONCATENATE(AM95,AX95)),[28]Listados!$U$3:$V$11,2,FALSE),"")</f>
        <v>Débil</v>
      </c>
      <c r="AZ95" s="129">
        <f t="shared" si="112"/>
        <v>0</v>
      </c>
      <c r="BA95" s="324"/>
      <c r="BB95" s="324"/>
      <c r="BC95" s="135">
        <f>+IF(AND(W95="Preventivo",BB94="Fuerte"),2,IF(AND(W95="Preventivo",BB94="Moderado"),1,0))</f>
        <v>0</v>
      </c>
      <c r="BD95" s="135">
        <f>+IF(AND(W95="Detectivo/Correctivo",$BB94="Fuerte"),2,IF(AND(W95="Detectivo/Correctivo",$BB95="Moderado"),1,IF(AND(W95="Preventivo",$BB94="Fuerte"),1,0)))</f>
        <v>0</v>
      </c>
      <c r="BE95" s="135">
        <f>+N94-BC95</f>
        <v>1</v>
      </c>
      <c r="BF95" s="135">
        <f>+P94-BD95</f>
        <v>2</v>
      </c>
      <c r="BG95" s="302"/>
      <c r="BH95" s="302"/>
      <c r="BI95" s="302"/>
      <c r="BJ95" s="303"/>
      <c r="BK95" s="303"/>
      <c r="BL95" s="303"/>
      <c r="BM95" s="306"/>
    </row>
  </sheetData>
  <mergeCells count="832">
    <mergeCell ref="BK94:BK95"/>
    <mergeCell ref="BL94:BL95"/>
    <mergeCell ref="BM94:BM95"/>
    <mergeCell ref="P94:P95"/>
    <mergeCell ref="Q94:Q95"/>
    <mergeCell ref="R94:R95"/>
    <mergeCell ref="BA94:BA95"/>
    <mergeCell ref="BB94:BB95"/>
    <mergeCell ref="BG94:BG95"/>
    <mergeCell ref="BH94:BH95"/>
    <mergeCell ref="BI94:BI95"/>
    <mergeCell ref="BJ94:BJ95"/>
    <mergeCell ref="A94:A95"/>
    <mergeCell ref="B94:B95"/>
    <mergeCell ref="C94:C95"/>
    <mergeCell ref="D94:D95"/>
    <mergeCell ref="F94:F95"/>
    <mergeCell ref="G94:G95"/>
    <mergeCell ref="M94:M95"/>
    <mergeCell ref="N94:N95"/>
    <mergeCell ref="O94:O95"/>
    <mergeCell ref="BK89:BK90"/>
    <mergeCell ref="BL89:BL90"/>
    <mergeCell ref="BM89:BM90"/>
    <mergeCell ref="A91:A92"/>
    <mergeCell ref="B91:B92"/>
    <mergeCell ref="C91:C92"/>
    <mergeCell ref="D91:D92"/>
    <mergeCell ref="F91:F92"/>
    <mergeCell ref="G91:G92"/>
    <mergeCell ref="M91:M92"/>
    <mergeCell ref="N91:N92"/>
    <mergeCell ref="O91:O92"/>
    <mergeCell ref="P91:P92"/>
    <mergeCell ref="Q91:Q92"/>
    <mergeCell ref="R91:R92"/>
    <mergeCell ref="BA91:BA92"/>
    <mergeCell ref="BB91:BB92"/>
    <mergeCell ref="BG91:BG92"/>
    <mergeCell ref="BH91:BH92"/>
    <mergeCell ref="BI91:BI92"/>
    <mergeCell ref="BJ91:BJ92"/>
    <mergeCell ref="BK91:BK92"/>
    <mergeCell ref="BL91:BL92"/>
    <mergeCell ref="BM91:BM92"/>
    <mergeCell ref="P89:P90"/>
    <mergeCell ref="Q89:Q90"/>
    <mergeCell ref="R89:R90"/>
    <mergeCell ref="BA89:BA90"/>
    <mergeCell ref="BB89:BB90"/>
    <mergeCell ref="BG89:BG90"/>
    <mergeCell ref="BH89:BH90"/>
    <mergeCell ref="BI89:BI90"/>
    <mergeCell ref="BJ89:BJ90"/>
    <mergeCell ref="A89:A90"/>
    <mergeCell ref="B89:B90"/>
    <mergeCell ref="C89:C90"/>
    <mergeCell ref="D89:D90"/>
    <mergeCell ref="F89:F90"/>
    <mergeCell ref="G89:G90"/>
    <mergeCell ref="M89:M90"/>
    <mergeCell ref="N89:N90"/>
    <mergeCell ref="O89:O90"/>
    <mergeCell ref="BK84:BK86"/>
    <mergeCell ref="BL84:BL86"/>
    <mergeCell ref="BM84:BM86"/>
    <mergeCell ref="A87:A88"/>
    <mergeCell ref="B87:B88"/>
    <mergeCell ref="C87:C88"/>
    <mergeCell ref="D87:D88"/>
    <mergeCell ref="F87:F88"/>
    <mergeCell ref="G87:G88"/>
    <mergeCell ref="M87:M88"/>
    <mergeCell ref="N87:N88"/>
    <mergeCell ref="O87:O88"/>
    <mergeCell ref="P87:P88"/>
    <mergeCell ref="Q87:Q88"/>
    <mergeCell ref="R87:R88"/>
    <mergeCell ref="BA87:BA88"/>
    <mergeCell ref="BB87:BB88"/>
    <mergeCell ref="BG87:BG88"/>
    <mergeCell ref="BH87:BH88"/>
    <mergeCell ref="BI87:BI88"/>
    <mergeCell ref="BJ87:BJ88"/>
    <mergeCell ref="BK87:BK88"/>
    <mergeCell ref="BL87:BL88"/>
    <mergeCell ref="BM87:BM88"/>
    <mergeCell ref="P84:P86"/>
    <mergeCell ref="Q84:Q86"/>
    <mergeCell ref="R84:R86"/>
    <mergeCell ref="BA84:BA86"/>
    <mergeCell ref="BB84:BB86"/>
    <mergeCell ref="BG84:BG86"/>
    <mergeCell ref="BH84:BH86"/>
    <mergeCell ref="BI84:BI86"/>
    <mergeCell ref="BJ84:BJ86"/>
    <mergeCell ref="A84:A86"/>
    <mergeCell ref="B84:B86"/>
    <mergeCell ref="C84:C86"/>
    <mergeCell ref="D84:D86"/>
    <mergeCell ref="F84:F86"/>
    <mergeCell ref="G84:G86"/>
    <mergeCell ref="M84:M86"/>
    <mergeCell ref="N84:N86"/>
    <mergeCell ref="O84:O86"/>
    <mergeCell ref="BK79:BK81"/>
    <mergeCell ref="BL79:BL81"/>
    <mergeCell ref="BM79:BM81"/>
    <mergeCell ref="A82:A83"/>
    <mergeCell ref="B82:B83"/>
    <mergeCell ref="C82:C83"/>
    <mergeCell ref="D82:D83"/>
    <mergeCell ref="F82:F83"/>
    <mergeCell ref="G82:G83"/>
    <mergeCell ref="M82:M83"/>
    <mergeCell ref="N82:N83"/>
    <mergeCell ref="O82:O83"/>
    <mergeCell ref="P82:P83"/>
    <mergeCell ref="Q82:Q83"/>
    <mergeCell ref="R82:R83"/>
    <mergeCell ref="BA82:BA83"/>
    <mergeCell ref="BB82:BB83"/>
    <mergeCell ref="BG82:BG83"/>
    <mergeCell ref="BH82:BH83"/>
    <mergeCell ref="BI82:BI83"/>
    <mergeCell ref="BJ82:BJ83"/>
    <mergeCell ref="BK82:BK83"/>
    <mergeCell ref="BL82:BL83"/>
    <mergeCell ref="BM82:BM83"/>
    <mergeCell ref="P79:P81"/>
    <mergeCell ref="Q79:Q81"/>
    <mergeCell ref="R79:R81"/>
    <mergeCell ref="BA79:BA81"/>
    <mergeCell ref="BB79:BB81"/>
    <mergeCell ref="BG79:BG81"/>
    <mergeCell ref="BH79:BH81"/>
    <mergeCell ref="BI79:BI81"/>
    <mergeCell ref="BJ79:BJ81"/>
    <mergeCell ref="A79:A81"/>
    <mergeCell ref="B79:B81"/>
    <mergeCell ref="C79:C81"/>
    <mergeCell ref="D79:D81"/>
    <mergeCell ref="F79:F81"/>
    <mergeCell ref="G79:G81"/>
    <mergeCell ref="M79:M81"/>
    <mergeCell ref="N79:N81"/>
    <mergeCell ref="O79:O81"/>
    <mergeCell ref="BK73:BK75"/>
    <mergeCell ref="BL73:BL75"/>
    <mergeCell ref="BM73:BM75"/>
    <mergeCell ref="A76:A78"/>
    <mergeCell ref="B76:B78"/>
    <mergeCell ref="C76:C78"/>
    <mergeCell ref="D76:D78"/>
    <mergeCell ref="F76:F78"/>
    <mergeCell ref="G76:G78"/>
    <mergeCell ref="M76:M78"/>
    <mergeCell ref="N76:N78"/>
    <mergeCell ref="O76:O78"/>
    <mergeCell ref="P76:P78"/>
    <mergeCell ref="Q76:Q78"/>
    <mergeCell ref="R76:R78"/>
    <mergeCell ref="BA76:BA78"/>
    <mergeCell ref="BB76:BB78"/>
    <mergeCell ref="BG76:BG78"/>
    <mergeCell ref="BH76:BH78"/>
    <mergeCell ref="BI76:BI78"/>
    <mergeCell ref="BJ76:BJ78"/>
    <mergeCell ref="BK76:BK78"/>
    <mergeCell ref="BL76:BL78"/>
    <mergeCell ref="BM76:BM78"/>
    <mergeCell ref="P73:P75"/>
    <mergeCell ref="Q73:Q75"/>
    <mergeCell ref="R73:R75"/>
    <mergeCell ref="BA73:BA75"/>
    <mergeCell ref="BB73:BB75"/>
    <mergeCell ref="BG73:BG75"/>
    <mergeCell ref="BH73:BH75"/>
    <mergeCell ref="BI73:BI75"/>
    <mergeCell ref="BJ73:BJ75"/>
    <mergeCell ref="A73:A75"/>
    <mergeCell ref="B73:B75"/>
    <mergeCell ref="C73:C75"/>
    <mergeCell ref="D73:D75"/>
    <mergeCell ref="F73:F75"/>
    <mergeCell ref="G73:G75"/>
    <mergeCell ref="M73:M75"/>
    <mergeCell ref="N73:N75"/>
    <mergeCell ref="O73:O75"/>
    <mergeCell ref="BK69:BK70"/>
    <mergeCell ref="BL69:BL70"/>
    <mergeCell ref="BM69:BM70"/>
    <mergeCell ref="A71:A72"/>
    <mergeCell ref="B71:B72"/>
    <mergeCell ref="C71:C72"/>
    <mergeCell ref="D71:D72"/>
    <mergeCell ref="F71:F72"/>
    <mergeCell ref="G71:G72"/>
    <mergeCell ref="M71:M72"/>
    <mergeCell ref="N71:N72"/>
    <mergeCell ref="O71:O72"/>
    <mergeCell ref="P71:P72"/>
    <mergeCell ref="Q71:Q72"/>
    <mergeCell ref="R71:R72"/>
    <mergeCell ref="BA71:BA72"/>
    <mergeCell ref="BB71:BB72"/>
    <mergeCell ref="BG71:BG72"/>
    <mergeCell ref="BH71:BH72"/>
    <mergeCell ref="BI71:BI72"/>
    <mergeCell ref="BJ71:BJ72"/>
    <mergeCell ref="BK71:BK72"/>
    <mergeCell ref="BL71:BL72"/>
    <mergeCell ref="BM71:BM72"/>
    <mergeCell ref="P69:P70"/>
    <mergeCell ref="Q69:Q70"/>
    <mergeCell ref="R69:R70"/>
    <mergeCell ref="BA69:BA70"/>
    <mergeCell ref="BB69:BB70"/>
    <mergeCell ref="BG69:BG70"/>
    <mergeCell ref="BH69:BH70"/>
    <mergeCell ref="BI69:BI70"/>
    <mergeCell ref="BJ69:BJ70"/>
    <mergeCell ref="A69:A70"/>
    <mergeCell ref="B69:B70"/>
    <mergeCell ref="C69:C70"/>
    <mergeCell ref="D69:D70"/>
    <mergeCell ref="F69:F70"/>
    <mergeCell ref="G69:G70"/>
    <mergeCell ref="M69:M70"/>
    <mergeCell ref="N69:N70"/>
    <mergeCell ref="O69:O70"/>
    <mergeCell ref="BL65:BL66"/>
    <mergeCell ref="BM65:BM66"/>
    <mergeCell ref="A67:A68"/>
    <mergeCell ref="B67:B68"/>
    <mergeCell ref="C67:C68"/>
    <mergeCell ref="D67:D68"/>
    <mergeCell ref="F67:F68"/>
    <mergeCell ref="G67:G68"/>
    <mergeCell ref="M67:M68"/>
    <mergeCell ref="N67:N68"/>
    <mergeCell ref="O67:O68"/>
    <mergeCell ref="P67:P68"/>
    <mergeCell ref="Q67:Q68"/>
    <mergeCell ref="R67:R68"/>
    <mergeCell ref="BA67:BA68"/>
    <mergeCell ref="BB67:BB68"/>
    <mergeCell ref="BG67:BG68"/>
    <mergeCell ref="BH67:BH68"/>
    <mergeCell ref="BI67:BI68"/>
    <mergeCell ref="BJ67:BJ68"/>
    <mergeCell ref="BK67:BK68"/>
    <mergeCell ref="BL67:BL68"/>
    <mergeCell ref="BM67:BM68"/>
    <mergeCell ref="BK63:BK64"/>
    <mergeCell ref="BL63:BL64"/>
    <mergeCell ref="BM63:BM64"/>
    <mergeCell ref="M61:M62"/>
    <mergeCell ref="N61:N62"/>
    <mergeCell ref="A65:A66"/>
    <mergeCell ref="B65:B66"/>
    <mergeCell ref="C65:C66"/>
    <mergeCell ref="D65:D66"/>
    <mergeCell ref="F65:F66"/>
    <mergeCell ref="G65:G66"/>
    <mergeCell ref="M65:M66"/>
    <mergeCell ref="N65:N66"/>
    <mergeCell ref="O65:O66"/>
    <mergeCell ref="P65:P66"/>
    <mergeCell ref="Q65:Q66"/>
    <mergeCell ref="R65:R66"/>
    <mergeCell ref="BA65:BA66"/>
    <mergeCell ref="BB65:BB66"/>
    <mergeCell ref="BG65:BG66"/>
    <mergeCell ref="BH65:BH66"/>
    <mergeCell ref="BI65:BI66"/>
    <mergeCell ref="BJ65:BJ66"/>
    <mergeCell ref="BK65:BK66"/>
    <mergeCell ref="P63:P64"/>
    <mergeCell ref="Q63:Q64"/>
    <mergeCell ref="R63:R64"/>
    <mergeCell ref="BA63:BA64"/>
    <mergeCell ref="BB63:BB64"/>
    <mergeCell ref="BG63:BG64"/>
    <mergeCell ref="BH63:BH64"/>
    <mergeCell ref="BI63:BI64"/>
    <mergeCell ref="BJ63:BJ64"/>
    <mergeCell ref="A63:A64"/>
    <mergeCell ref="B63:B64"/>
    <mergeCell ref="C63:C64"/>
    <mergeCell ref="D63:D64"/>
    <mergeCell ref="F63:F64"/>
    <mergeCell ref="G63:G64"/>
    <mergeCell ref="M63:M64"/>
    <mergeCell ref="N63:N64"/>
    <mergeCell ref="O63:O64"/>
    <mergeCell ref="P61:P62"/>
    <mergeCell ref="Q61:Q62"/>
    <mergeCell ref="R61:R62"/>
    <mergeCell ref="BA61:BA62"/>
    <mergeCell ref="BB61:BB62"/>
    <mergeCell ref="BG61:BG62"/>
    <mergeCell ref="A57:A58"/>
    <mergeCell ref="B57:B58"/>
    <mergeCell ref="C57:C58"/>
    <mergeCell ref="D57:D58"/>
    <mergeCell ref="F57:F58"/>
    <mergeCell ref="G57:G58"/>
    <mergeCell ref="M57:M58"/>
    <mergeCell ref="N57:N58"/>
    <mergeCell ref="O57:O58"/>
    <mergeCell ref="P57:P58"/>
    <mergeCell ref="Q57:Q58"/>
    <mergeCell ref="R57:R58"/>
    <mergeCell ref="BA57:BA58"/>
    <mergeCell ref="BB57:BB58"/>
    <mergeCell ref="BG57:BG58"/>
    <mergeCell ref="A59:A60"/>
    <mergeCell ref="B59:B60"/>
    <mergeCell ref="H1:BI3"/>
    <mergeCell ref="BH7:BH8"/>
    <mergeCell ref="BI7:BI8"/>
    <mergeCell ref="Q7:Q8"/>
    <mergeCell ref="BA7:BA8"/>
    <mergeCell ref="BB7:BB8"/>
    <mergeCell ref="P7:P8"/>
    <mergeCell ref="BJ4:BM5"/>
    <mergeCell ref="F7:F8"/>
    <mergeCell ref="N7:N8"/>
    <mergeCell ref="O7:O8"/>
    <mergeCell ref="A1:G3"/>
    <mergeCell ref="A4:L5"/>
    <mergeCell ref="M4:Q4"/>
    <mergeCell ref="U4:BI4"/>
    <mergeCell ref="M5:Q5"/>
    <mergeCell ref="U5:W5"/>
    <mergeCell ref="X5:AM5"/>
    <mergeCell ref="AN5:AW5"/>
    <mergeCell ref="AY5:AZ5"/>
    <mergeCell ref="BA5:BB5"/>
    <mergeCell ref="BG5:BI5"/>
    <mergeCell ref="R4:R5"/>
    <mergeCell ref="BK7:BK8"/>
    <mergeCell ref="BL7:BL8"/>
    <mergeCell ref="BM7:BM8"/>
    <mergeCell ref="BJ7:BJ8"/>
    <mergeCell ref="R7:R8"/>
    <mergeCell ref="A7:A8"/>
    <mergeCell ref="B7:B8"/>
    <mergeCell ref="C7:C8"/>
    <mergeCell ref="M7:M8"/>
    <mergeCell ref="BG7:BG8"/>
    <mergeCell ref="G7:G8"/>
    <mergeCell ref="BB9:BB11"/>
    <mergeCell ref="BG9:BG11"/>
    <mergeCell ref="G9:G11"/>
    <mergeCell ref="M9:M11"/>
    <mergeCell ref="N9:N11"/>
    <mergeCell ref="O9:O11"/>
    <mergeCell ref="P9:P11"/>
    <mergeCell ref="A9:A11"/>
    <mergeCell ref="B9:B11"/>
    <mergeCell ref="C9:C11"/>
    <mergeCell ref="D9:D11"/>
    <mergeCell ref="F9:F11"/>
    <mergeCell ref="BM9:BM11"/>
    <mergeCell ref="A14:A15"/>
    <mergeCell ref="B14:B15"/>
    <mergeCell ref="C14:C15"/>
    <mergeCell ref="D14:D15"/>
    <mergeCell ref="F14:F15"/>
    <mergeCell ref="G14:G15"/>
    <mergeCell ref="M14:M15"/>
    <mergeCell ref="N14:N15"/>
    <mergeCell ref="O14:O15"/>
    <mergeCell ref="P14:P15"/>
    <mergeCell ref="Q14:Q15"/>
    <mergeCell ref="R14:R15"/>
    <mergeCell ref="BA14:BA15"/>
    <mergeCell ref="BB14:BB15"/>
    <mergeCell ref="BG14:BG15"/>
    <mergeCell ref="BH9:BH11"/>
    <mergeCell ref="BI9:BI11"/>
    <mergeCell ref="BJ9:BJ11"/>
    <mergeCell ref="BK9:BK11"/>
    <mergeCell ref="BL9:BL11"/>
    <mergeCell ref="Q9:Q11"/>
    <mergeCell ref="R9:R11"/>
    <mergeCell ref="BA9:BA11"/>
    <mergeCell ref="BM14:BM15"/>
    <mergeCell ref="A16:A17"/>
    <mergeCell ref="B16:B17"/>
    <mergeCell ref="C16:C17"/>
    <mergeCell ref="D16:D17"/>
    <mergeCell ref="F16:F17"/>
    <mergeCell ref="G16:G17"/>
    <mergeCell ref="M16:M17"/>
    <mergeCell ref="N16:N17"/>
    <mergeCell ref="O16:O17"/>
    <mergeCell ref="P16:P17"/>
    <mergeCell ref="Q16:Q17"/>
    <mergeCell ref="R16:R17"/>
    <mergeCell ref="BA16:BA17"/>
    <mergeCell ref="BB16:BB17"/>
    <mergeCell ref="BG16:BG17"/>
    <mergeCell ref="BH14:BH15"/>
    <mergeCell ref="BI14:BI15"/>
    <mergeCell ref="BJ14:BJ15"/>
    <mergeCell ref="BK14:BK15"/>
    <mergeCell ref="BL14:BL15"/>
    <mergeCell ref="BM16:BM17"/>
    <mergeCell ref="BK16:BK17"/>
    <mergeCell ref="BL16:BL17"/>
    <mergeCell ref="A18:A19"/>
    <mergeCell ref="B18:B19"/>
    <mergeCell ref="C18:C19"/>
    <mergeCell ref="D18:D19"/>
    <mergeCell ref="F18:F19"/>
    <mergeCell ref="G18:G19"/>
    <mergeCell ref="M18:M19"/>
    <mergeCell ref="N18:N19"/>
    <mergeCell ref="O18:O19"/>
    <mergeCell ref="P18:P19"/>
    <mergeCell ref="Q18:Q19"/>
    <mergeCell ref="R18:R19"/>
    <mergeCell ref="BA18:BA19"/>
    <mergeCell ref="BB18:BB19"/>
    <mergeCell ref="BG18:BG19"/>
    <mergeCell ref="BH16:BH17"/>
    <mergeCell ref="BI16:BI17"/>
    <mergeCell ref="BJ16:BJ17"/>
    <mergeCell ref="BM18:BM19"/>
    <mergeCell ref="A20:A21"/>
    <mergeCell ref="B20:B21"/>
    <mergeCell ref="C20:C21"/>
    <mergeCell ref="D20:D21"/>
    <mergeCell ref="F20:F21"/>
    <mergeCell ref="G20:G21"/>
    <mergeCell ref="M20:M21"/>
    <mergeCell ref="N20:N21"/>
    <mergeCell ref="O20:O21"/>
    <mergeCell ref="P20:P21"/>
    <mergeCell ref="Q20:Q21"/>
    <mergeCell ref="R20:R21"/>
    <mergeCell ref="BA20:BA21"/>
    <mergeCell ref="BB20:BB21"/>
    <mergeCell ref="BG20:BG21"/>
    <mergeCell ref="BH18:BH19"/>
    <mergeCell ref="BI18:BI19"/>
    <mergeCell ref="BJ18:BJ19"/>
    <mergeCell ref="BK18:BK19"/>
    <mergeCell ref="BL18:BL19"/>
    <mergeCell ref="BM20:BM21"/>
    <mergeCell ref="BK20:BK21"/>
    <mergeCell ref="BL20:BL21"/>
    <mergeCell ref="A22:A23"/>
    <mergeCell ref="B22:B23"/>
    <mergeCell ref="C22:C23"/>
    <mergeCell ref="D22:D23"/>
    <mergeCell ref="F22:F23"/>
    <mergeCell ref="G22:G23"/>
    <mergeCell ref="M22:M23"/>
    <mergeCell ref="N22:N23"/>
    <mergeCell ref="O22:O23"/>
    <mergeCell ref="P22:P23"/>
    <mergeCell ref="Q22:Q23"/>
    <mergeCell ref="R22:R23"/>
    <mergeCell ref="BA22:BA23"/>
    <mergeCell ref="BB22:BB23"/>
    <mergeCell ref="BG22:BG23"/>
    <mergeCell ref="BH20:BH21"/>
    <mergeCell ref="BI20:BI21"/>
    <mergeCell ref="BJ20:BJ21"/>
    <mergeCell ref="BM22:BM23"/>
    <mergeCell ref="A24:A25"/>
    <mergeCell ref="B24:B25"/>
    <mergeCell ref="C24:C25"/>
    <mergeCell ref="D24:D25"/>
    <mergeCell ref="F24:F25"/>
    <mergeCell ref="G24:G25"/>
    <mergeCell ref="M24:M25"/>
    <mergeCell ref="N24:N25"/>
    <mergeCell ref="O24:O25"/>
    <mergeCell ref="P24:P25"/>
    <mergeCell ref="Q24:Q25"/>
    <mergeCell ref="R24:R25"/>
    <mergeCell ref="BA24:BA25"/>
    <mergeCell ref="BB24:BB25"/>
    <mergeCell ref="BG24:BG25"/>
    <mergeCell ref="BH22:BH23"/>
    <mergeCell ref="BI22:BI23"/>
    <mergeCell ref="BJ22:BJ23"/>
    <mergeCell ref="BK22:BK23"/>
    <mergeCell ref="BL22:BL23"/>
    <mergeCell ref="BM24:BM25"/>
    <mergeCell ref="BK24:BK25"/>
    <mergeCell ref="BL24:BL25"/>
    <mergeCell ref="A26:A27"/>
    <mergeCell ref="B26:B27"/>
    <mergeCell ref="C26:C27"/>
    <mergeCell ref="D26:D27"/>
    <mergeCell ref="F26:F27"/>
    <mergeCell ref="G26:G27"/>
    <mergeCell ref="M26:M27"/>
    <mergeCell ref="N26:N27"/>
    <mergeCell ref="O26:O27"/>
    <mergeCell ref="P26:P27"/>
    <mergeCell ref="Q26:Q27"/>
    <mergeCell ref="R26:R27"/>
    <mergeCell ref="BA26:BA27"/>
    <mergeCell ref="BB26:BB27"/>
    <mergeCell ref="BG26:BG27"/>
    <mergeCell ref="BH24:BH25"/>
    <mergeCell ref="BI24:BI25"/>
    <mergeCell ref="BJ24:BJ25"/>
    <mergeCell ref="BM26:BM27"/>
    <mergeCell ref="A28:A29"/>
    <mergeCell ref="B28:B29"/>
    <mergeCell ref="C28:C29"/>
    <mergeCell ref="D28:D29"/>
    <mergeCell ref="F28:F29"/>
    <mergeCell ref="G28:G29"/>
    <mergeCell ref="M28:M29"/>
    <mergeCell ref="N28:N29"/>
    <mergeCell ref="O28:O29"/>
    <mergeCell ref="P28:P29"/>
    <mergeCell ref="Q28:Q29"/>
    <mergeCell ref="R28:R29"/>
    <mergeCell ref="BA28:BA29"/>
    <mergeCell ref="BB28:BB29"/>
    <mergeCell ref="BG28:BG29"/>
    <mergeCell ref="BH26:BH27"/>
    <mergeCell ref="BI26:BI27"/>
    <mergeCell ref="BJ26:BJ27"/>
    <mergeCell ref="BK26:BK27"/>
    <mergeCell ref="BL26:BL27"/>
    <mergeCell ref="BM28:BM29"/>
    <mergeCell ref="BK28:BK29"/>
    <mergeCell ref="BL28:BL29"/>
    <mergeCell ref="A30:A31"/>
    <mergeCell ref="B30:B31"/>
    <mergeCell ref="C30:C31"/>
    <mergeCell ref="D30:D31"/>
    <mergeCell ref="F30:F31"/>
    <mergeCell ref="G30:G31"/>
    <mergeCell ref="M30:M31"/>
    <mergeCell ref="N30:N31"/>
    <mergeCell ref="O30:O31"/>
    <mergeCell ref="P30:P31"/>
    <mergeCell ref="Q30:Q31"/>
    <mergeCell ref="R30:R31"/>
    <mergeCell ref="BA30:BA31"/>
    <mergeCell ref="BB30:BB31"/>
    <mergeCell ref="BG30:BG31"/>
    <mergeCell ref="BH28:BH29"/>
    <mergeCell ref="BI28:BI29"/>
    <mergeCell ref="BJ28:BJ29"/>
    <mergeCell ref="BM30:BM31"/>
    <mergeCell ref="A32:A33"/>
    <mergeCell ref="B32:B33"/>
    <mergeCell ref="C32:C33"/>
    <mergeCell ref="D32:D33"/>
    <mergeCell ref="F32:F33"/>
    <mergeCell ref="G32:G33"/>
    <mergeCell ref="M32:M33"/>
    <mergeCell ref="N32:N33"/>
    <mergeCell ref="O32:O33"/>
    <mergeCell ref="P32:P33"/>
    <mergeCell ref="Q32:Q33"/>
    <mergeCell ref="R32:R33"/>
    <mergeCell ref="BA32:BA33"/>
    <mergeCell ref="BB32:BB33"/>
    <mergeCell ref="BG32:BG33"/>
    <mergeCell ref="BH30:BH31"/>
    <mergeCell ref="BI30:BI31"/>
    <mergeCell ref="BJ30:BJ31"/>
    <mergeCell ref="BK30:BK31"/>
    <mergeCell ref="BL30:BL31"/>
    <mergeCell ref="BM32:BM33"/>
    <mergeCell ref="BK32:BK33"/>
    <mergeCell ref="BL32:BL33"/>
    <mergeCell ref="A34:A35"/>
    <mergeCell ref="B34:B35"/>
    <mergeCell ref="C34:C35"/>
    <mergeCell ref="D34:D35"/>
    <mergeCell ref="F34:F35"/>
    <mergeCell ref="G34:G35"/>
    <mergeCell ref="M34:M35"/>
    <mergeCell ref="N34:N35"/>
    <mergeCell ref="O34:O35"/>
    <mergeCell ref="P34:P35"/>
    <mergeCell ref="Q34:Q35"/>
    <mergeCell ref="R34:R35"/>
    <mergeCell ref="BA34:BA35"/>
    <mergeCell ref="BB34:BB35"/>
    <mergeCell ref="BG34:BG35"/>
    <mergeCell ref="BH32:BH33"/>
    <mergeCell ref="BI32:BI33"/>
    <mergeCell ref="BJ32:BJ33"/>
    <mergeCell ref="BM34:BM35"/>
    <mergeCell ref="A36:A37"/>
    <mergeCell ref="B36:B37"/>
    <mergeCell ref="C36:C37"/>
    <mergeCell ref="D36:D37"/>
    <mergeCell ref="F36:F37"/>
    <mergeCell ref="G36:G37"/>
    <mergeCell ref="M36:M37"/>
    <mergeCell ref="N36:N37"/>
    <mergeCell ref="O36:O37"/>
    <mergeCell ref="P36:P37"/>
    <mergeCell ref="Q36:Q37"/>
    <mergeCell ref="R36:R37"/>
    <mergeCell ref="BA36:BA37"/>
    <mergeCell ref="BB36:BB37"/>
    <mergeCell ref="BG36:BG37"/>
    <mergeCell ref="BH34:BH35"/>
    <mergeCell ref="BI34:BI35"/>
    <mergeCell ref="BJ34:BJ35"/>
    <mergeCell ref="BK34:BK35"/>
    <mergeCell ref="BL34:BL35"/>
    <mergeCell ref="BM36:BM37"/>
    <mergeCell ref="BK36:BK37"/>
    <mergeCell ref="BL36:BL37"/>
    <mergeCell ref="Q38:Q40"/>
    <mergeCell ref="R38:R40"/>
    <mergeCell ref="BA38:BA40"/>
    <mergeCell ref="BB38:BB40"/>
    <mergeCell ref="BG38:BG40"/>
    <mergeCell ref="BH36:BH37"/>
    <mergeCell ref="BI36:BI37"/>
    <mergeCell ref="BJ36:BJ37"/>
    <mergeCell ref="A38:A40"/>
    <mergeCell ref="B38:B40"/>
    <mergeCell ref="C38:C40"/>
    <mergeCell ref="D38:D40"/>
    <mergeCell ref="F38:F40"/>
    <mergeCell ref="G38:G40"/>
    <mergeCell ref="M38:M40"/>
    <mergeCell ref="N38:N40"/>
    <mergeCell ref="O38:O40"/>
    <mergeCell ref="BM38:BM40"/>
    <mergeCell ref="A43:A44"/>
    <mergeCell ref="B43:B44"/>
    <mergeCell ref="C43:C44"/>
    <mergeCell ref="D43:D44"/>
    <mergeCell ref="F43:F44"/>
    <mergeCell ref="G43:G44"/>
    <mergeCell ref="M43:M44"/>
    <mergeCell ref="N43:N44"/>
    <mergeCell ref="O43:O44"/>
    <mergeCell ref="P43:P44"/>
    <mergeCell ref="Q43:Q44"/>
    <mergeCell ref="R43:R44"/>
    <mergeCell ref="BA43:BA44"/>
    <mergeCell ref="BB43:BB44"/>
    <mergeCell ref="BG43:BG44"/>
    <mergeCell ref="BH38:BH40"/>
    <mergeCell ref="BI38:BI40"/>
    <mergeCell ref="BJ38:BJ40"/>
    <mergeCell ref="BK38:BK40"/>
    <mergeCell ref="BL38:BL40"/>
    <mergeCell ref="BM43:BM44"/>
    <mergeCell ref="BL43:BL44"/>
    <mergeCell ref="P38:P40"/>
    <mergeCell ref="A45:A46"/>
    <mergeCell ref="B45:B46"/>
    <mergeCell ref="C45:C46"/>
    <mergeCell ref="D45:D46"/>
    <mergeCell ref="F45:F46"/>
    <mergeCell ref="G45:G46"/>
    <mergeCell ref="M45:M46"/>
    <mergeCell ref="N45:N46"/>
    <mergeCell ref="O45:O46"/>
    <mergeCell ref="P45:P46"/>
    <mergeCell ref="Q45:Q46"/>
    <mergeCell ref="R45:R46"/>
    <mergeCell ref="BA45:BA46"/>
    <mergeCell ref="BB45:BB46"/>
    <mergeCell ref="BH43:BH44"/>
    <mergeCell ref="BI43:BI44"/>
    <mergeCell ref="BJ43:BJ44"/>
    <mergeCell ref="BK43:BK44"/>
    <mergeCell ref="BL45:BL46"/>
    <mergeCell ref="BM45:BM46"/>
    <mergeCell ref="A47:A48"/>
    <mergeCell ref="B47:B48"/>
    <mergeCell ref="C47:C48"/>
    <mergeCell ref="D47:D48"/>
    <mergeCell ref="F47:F48"/>
    <mergeCell ref="G47:G48"/>
    <mergeCell ref="M47:M48"/>
    <mergeCell ref="N47:N48"/>
    <mergeCell ref="O47:O48"/>
    <mergeCell ref="P47:P48"/>
    <mergeCell ref="Q47:Q48"/>
    <mergeCell ref="R47:R48"/>
    <mergeCell ref="BA47:BA48"/>
    <mergeCell ref="BB47:BB48"/>
    <mergeCell ref="BG45:BG46"/>
    <mergeCell ref="BH45:BH46"/>
    <mergeCell ref="BI45:BI46"/>
    <mergeCell ref="BJ45:BJ46"/>
    <mergeCell ref="BK45:BK46"/>
    <mergeCell ref="BL47:BL48"/>
    <mergeCell ref="BM47:BM48"/>
    <mergeCell ref="BK47:BK48"/>
    <mergeCell ref="A49:A50"/>
    <mergeCell ref="B49:B50"/>
    <mergeCell ref="C49:C50"/>
    <mergeCell ref="D49:D50"/>
    <mergeCell ref="F49:F50"/>
    <mergeCell ref="G49:G50"/>
    <mergeCell ref="M49:M50"/>
    <mergeCell ref="N49:N50"/>
    <mergeCell ref="O49:O50"/>
    <mergeCell ref="P49:P50"/>
    <mergeCell ref="Q49:Q50"/>
    <mergeCell ref="R49:R50"/>
    <mergeCell ref="BA49:BA50"/>
    <mergeCell ref="BB49:BB50"/>
    <mergeCell ref="BG47:BG48"/>
    <mergeCell ref="BH47:BH48"/>
    <mergeCell ref="BI47:BI48"/>
    <mergeCell ref="BJ47:BJ48"/>
    <mergeCell ref="BL49:BL50"/>
    <mergeCell ref="BM49:BM50"/>
    <mergeCell ref="A51:A52"/>
    <mergeCell ref="B51:B52"/>
    <mergeCell ref="C51:C52"/>
    <mergeCell ref="D51:D52"/>
    <mergeCell ref="F51:F52"/>
    <mergeCell ref="G51:G52"/>
    <mergeCell ref="M51:M52"/>
    <mergeCell ref="N51:N52"/>
    <mergeCell ref="O51:O52"/>
    <mergeCell ref="P51:P52"/>
    <mergeCell ref="Q51:Q52"/>
    <mergeCell ref="R51:R52"/>
    <mergeCell ref="BA51:BA52"/>
    <mergeCell ref="BB51:BB52"/>
    <mergeCell ref="BG49:BG50"/>
    <mergeCell ref="BH49:BH50"/>
    <mergeCell ref="BI49:BI50"/>
    <mergeCell ref="BJ49:BJ50"/>
    <mergeCell ref="BK49:BK50"/>
    <mergeCell ref="BL51:BL52"/>
    <mergeCell ref="BM51:BM52"/>
    <mergeCell ref="BK51:BK52"/>
    <mergeCell ref="BH51:BH52"/>
    <mergeCell ref="BI51:BI52"/>
    <mergeCell ref="BJ51:BJ52"/>
    <mergeCell ref="A53:A54"/>
    <mergeCell ref="B53:B54"/>
    <mergeCell ref="C53:C54"/>
    <mergeCell ref="D53:D54"/>
    <mergeCell ref="F53:F54"/>
    <mergeCell ref="G53:G54"/>
    <mergeCell ref="M53:M54"/>
    <mergeCell ref="N53:N54"/>
    <mergeCell ref="O53:O54"/>
    <mergeCell ref="A55:A56"/>
    <mergeCell ref="B55:B56"/>
    <mergeCell ref="C55:C56"/>
    <mergeCell ref="P53:P54"/>
    <mergeCell ref="Q53:Q54"/>
    <mergeCell ref="R53:R54"/>
    <mergeCell ref="BA53:BA54"/>
    <mergeCell ref="BB53:BB54"/>
    <mergeCell ref="BG51:BG52"/>
    <mergeCell ref="D55:D56"/>
    <mergeCell ref="F55:F56"/>
    <mergeCell ref="G55:G56"/>
    <mergeCell ref="M55:M56"/>
    <mergeCell ref="N55:N56"/>
    <mergeCell ref="O55:O56"/>
    <mergeCell ref="P55:P56"/>
    <mergeCell ref="Q55:Q56"/>
    <mergeCell ref="R55:R56"/>
    <mergeCell ref="BA55:BA56"/>
    <mergeCell ref="BB55:BB56"/>
    <mergeCell ref="BG55:BG56"/>
    <mergeCell ref="P59:P60"/>
    <mergeCell ref="Q59:Q60"/>
    <mergeCell ref="R59:R60"/>
    <mergeCell ref="BA59:BA60"/>
    <mergeCell ref="BB59:BB60"/>
    <mergeCell ref="BG59:BG60"/>
    <mergeCell ref="BL53:BL54"/>
    <mergeCell ref="BM53:BM54"/>
    <mergeCell ref="BG53:BG54"/>
    <mergeCell ref="BH53:BH54"/>
    <mergeCell ref="BI53:BI54"/>
    <mergeCell ref="BJ53:BJ54"/>
    <mergeCell ref="BK53:BK54"/>
    <mergeCell ref="BH55:BH56"/>
    <mergeCell ref="BI55:BI56"/>
    <mergeCell ref="BJ55:BJ56"/>
    <mergeCell ref="BK55:BK56"/>
    <mergeCell ref="BL55:BL56"/>
    <mergeCell ref="BM55:BM56"/>
    <mergeCell ref="C59:C60"/>
    <mergeCell ref="D59:D60"/>
    <mergeCell ref="F59:F60"/>
    <mergeCell ref="G59:G60"/>
    <mergeCell ref="M59:M60"/>
    <mergeCell ref="N59:N60"/>
    <mergeCell ref="O59:O60"/>
    <mergeCell ref="A61:A62"/>
    <mergeCell ref="B61:B62"/>
    <mergeCell ref="C61:C62"/>
    <mergeCell ref="D61:D62"/>
    <mergeCell ref="F61:F62"/>
    <mergeCell ref="G61:G62"/>
    <mergeCell ref="O61:O62"/>
    <mergeCell ref="BH61:BH62"/>
    <mergeCell ref="BI61:BI62"/>
    <mergeCell ref="BJ61:BJ62"/>
    <mergeCell ref="BK61:BK62"/>
    <mergeCell ref="BL61:BL62"/>
    <mergeCell ref="BK57:BK58"/>
    <mergeCell ref="BL57:BL58"/>
    <mergeCell ref="BM57:BM58"/>
    <mergeCell ref="BH59:BH60"/>
    <mergeCell ref="BI59:BI60"/>
    <mergeCell ref="BJ59:BJ60"/>
    <mergeCell ref="BK59:BK60"/>
    <mergeCell ref="BL59:BL60"/>
    <mergeCell ref="BM59:BM60"/>
    <mergeCell ref="BH57:BH58"/>
    <mergeCell ref="BI57:BI58"/>
    <mergeCell ref="BJ57:BJ58"/>
    <mergeCell ref="BM61:BM62"/>
  </mergeCells>
  <conditionalFormatting sqref="Q7 S7:T7">
    <cfRule type="cellIs" dxfId="291" priority="324" operator="equal">
      <formula>"Extremo"</formula>
    </cfRule>
    <cfRule type="cellIs" dxfId="290" priority="325" operator="equal">
      <formula>"Alto"</formula>
    </cfRule>
    <cfRule type="cellIs" dxfId="289" priority="326" operator="equal">
      <formula>"Moderado"</formula>
    </cfRule>
    <cfRule type="cellIs" dxfId="288" priority="327" operator="equal">
      <formula>"Bajo"</formula>
    </cfRule>
  </conditionalFormatting>
  <conditionalFormatting sqref="BI7">
    <cfRule type="cellIs" dxfId="287" priority="320" operator="equal">
      <formula>"Extremo"</formula>
    </cfRule>
    <cfRule type="cellIs" dxfId="286" priority="321" operator="equal">
      <formula>"Alto"</formula>
    </cfRule>
    <cfRule type="cellIs" dxfId="285" priority="322" operator="equal">
      <formula>"Moderado"</formula>
    </cfRule>
    <cfRule type="cellIs" dxfId="284" priority="323" operator="equal">
      <formula>"Bajo"</formula>
    </cfRule>
  </conditionalFormatting>
  <conditionalFormatting sqref="Q9 S9:T9">
    <cfRule type="cellIs" dxfId="283" priority="305" operator="equal">
      <formula>"Extremo"</formula>
    </cfRule>
    <cfRule type="cellIs" dxfId="282" priority="306" operator="equal">
      <formula>"Alto"</formula>
    </cfRule>
    <cfRule type="cellIs" dxfId="281" priority="307" operator="equal">
      <formula>"Moderado"</formula>
    </cfRule>
    <cfRule type="cellIs" dxfId="280" priority="308" operator="equal">
      <formula>"Bajo"</formula>
    </cfRule>
  </conditionalFormatting>
  <conditionalFormatting sqref="BI9">
    <cfRule type="cellIs" dxfId="279" priority="301" operator="equal">
      <formula>"Extremo"</formula>
    </cfRule>
    <cfRule type="cellIs" dxfId="278" priority="302" operator="equal">
      <formula>"Alto"</formula>
    </cfRule>
    <cfRule type="cellIs" dxfId="277" priority="303" operator="equal">
      <formula>"Moderado"</formula>
    </cfRule>
    <cfRule type="cellIs" dxfId="276" priority="304" operator="equal">
      <formula>"Bajo"</formula>
    </cfRule>
  </conditionalFormatting>
  <conditionalFormatting sqref="Q12 S12:T12">
    <cfRule type="cellIs" dxfId="275" priority="297" operator="equal">
      <formula>"Extremo"</formula>
    </cfRule>
    <cfRule type="cellIs" dxfId="274" priority="298" operator="equal">
      <formula>"Alto"</formula>
    </cfRule>
    <cfRule type="cellIs" dxfId="273" priority="299" operator="equal">
      <formula>"Moderado"</formula>
    </cfRule>
    <cfRule type="cellIs" dxfId="272" priority="300" operator="equal">
      <formula>"Bajo"</formula>
    </cfRule>
  </conditionalFormatting>
  <conditionalFormatting sqref="Q13 S13:T13">
    <cfRule type="cellIs" dxfId="271" priority="293" operator="equal">
      <formula>"Extremo"</formula>
    </cfRule>
    <cfRule type="cellIs" dxfId="270" priority="294" operator="equal">
      <formula>"Alto"</formula>
    </cfRule>
    <cfRule type="cellIs" dxfId="269" priority="295" operator="equal">
      <formula>"Moderado"</formula>
    </cfRule>
    <cfRule type="cellIs" dxfId="268" priority="296" operator="equal">
      <formula>"Bajo"</formula>
    </cfRule>
  </conditionalFormatting>
  <conditionalFormatting sqref="BI13">
    <cfRule type="cellIs" dxfId="267" priority="289" operator="equal">
      <formula>"Extremo"</formula>
    </cfRule>
    <cfRule type="cellIs" dxfId="266" priority="290" operator="equal">
      <formula>"Alto"</formula>
    </cfRule>
    <cfRule type="cellIs" dxfId="265" priority="291" operator="equal">
      <formula>"Moderado"</formula>
    </cfRule>
    <cfRule type="cellIs" dxfId="264" priority="292" operator="equal">
      <formula>"Bajo"</formula>
    </cfRule>
  </conditionalFormatting>
  <conditionalFormatting sqref="Q14 S14:T14">
    <cfRule type="cellIs" dxfId="263" priority="285" operator="equal">
      <formula>"Extremo"</formula>
    </cfRule>
    <cfRule type="cellIs" dxfId="262" priority="286" operator="equal">
      <formula>"Alto"</formula>
    </cfRule>
    <cfRule type="cellIs" dxfId="261" priority="287" operator="equal">
      <formula>"Moderado"</formula>
    </cfRule>
    <cfRule type="cellIs" dxfId="260" priority="288" operator="equal">
      <formula>"Bajo"</formula>
    </cfRule>
  </conditionalFormatting>
  <conditionalFormatting sqref="Q16 S16:T16">
    <cfRule type="cellIs" dxfId="259" priority="277" operator="equal">
      <formula>"Extremo"</formula>
    </cfRule>
    <cfRule type="cellIs" dxfId="258" priority="278" operator="equal">
      <formula>"Alto"</formula>
    </cfRule>
    <cfRule type="cellIs" dxfId="257" priority="279" operator="equal">
      <formula>"Moderado"</formula>
    </cfRule>
    <cfRule type="cellIs" dxfId="256" priority="280" operator="equal">
      <formula>"Bajo"</formula>
    </cfRule>
  </conditionalFormatting>
  <conditionalFormatting sqref="BI14">
    <cfRule type="cellIs" dxfId="255" priority="281" operator="equal">
      <formula>"Extremo"</formula>
    </cfRule>
    <cfRule type="cellIs" dxfId="254" priority="282" operator="equal">
      <formula>"Alto"</formula>
    </cfRule>
    <cfRule type="cellIs" dxfId="253" priority="283" operator="equal">
      <formula>"Moderado"</formula>
    </cfRule>
    <cfRule type="cellIs" dxfId="252" priority="284" operator="equal">
      <formula>"Bajo"</formula>
    </cfRule>
  </conditionalFormatting>
  <conditionalFormatting sqref="BI16">
    <cfRule type="cellIs" dxfId="251" priority="273" operator="equal">
      <formula>"Extremo"</formula>
    </cfRule>
    <cfRule type="cellIs" dxfId="250" priority="274" operator="equal">
      <formula>"Alto"</formula>
    </cfRule>
    <cfRule type="cellIs" dxfId="249" priority="275" operator="equal">
      <formula>"Moderado"</formula>
    </cfRule>
    <cfRule type="cellIs" dxfId="248" priority="276" operator="equal">
      <formula>"Bajo"</formula>
    </cfRule>
  </conditionalFormatting>
  <conditionalFormatting sqref="Q18 S18:T18">
    <cfRule type="cellIs" dxfId="247" priority="269" operator="equal">
      <formula>"Extremo"</formula>
    </cfRule>
    <cfRule type="cellIs" dxfId="246" priority="270" operator="equal">
      <formula>"Alto"</formula>
    </cfRule>
    <cfRule type="cellIs" dxfId="245" priority="271" operator="equal">
      <formula>"Moderado"</formula>
    </cfRule>
    <cfRule type="cellIs" dxfId="244" priority="272" operator="equal">
      <formula>"Bajo"</formula>
    </cfRule>
  </conditionalFormatting>
  <conditionalFormatting sqref="Q20 S20:T20">
    <cfRule type="cellIs" dxfId="243" priority="261" operator="equal">
      <formula>"Extremo"</formula>
    </cfRule>
    <cfRule type="cellIs" dxfId="242" priority="262" operator="equal">
      <formula>"Alto"</formula>
    </cfRule>
    <cfRule type="cellIs" dxfId="241" priority="263" operator="equal">
      <formula>"Moderado"</formula>
    </cfRule>
    <cfRule type="cellIs" dxfId="240" priority="264" operator="equal">
      <formula>"Bajo"</formula>
    </cfRule>
  </conditionalFormatting>
  <conditionalFormatting sqref="BI18">
    <cfRule type="cellIs" dxfId="239" priority="265" operator="equal">
      <formula>"Extremo"</formula>
    </cfRule>
    <cfRule type="cellIs" dxfId="238" priority="266" operator="equal">
      <formula>"Alto"</formula>
    </cfRule>
    <cfRule type="cellIs" dxfId="237" priority="267" operator="equal">
      <formula>"Moderado"</formula>
    </cfRule>
    <cfRule type="cellIs" dxfId="236" priority="268" operator="equal">
      <formula>"Bajo"</formula>
    </cfRule>
  </conditionalFormatting>
  <conditionalFormatting sqref="BI20">
    <cfRule type="cellIs" dxfId="235" priority="257" operator="equal">
      <formula>"Extremo"</formula>
    </cfRule>
    <cfRule type="cellIs" dxfId="234" priority="258" operator="equal">
      <formula>"Alto"</formula>
    </cfRule>
    <cfRule type="cellIs" dxfId="233" priority="259" operator="equal">
      <formula>"Moderado"</formula>
    </cfRule>
    <cfRule type="cellIs" dxfId="232" priority="260" operator="equal">
      <formula>"Bajo"</formula>
    </cfRule>
  </conditionalFormatting>
  <conditionalFormatting sqref="Q22 S22:T22">
    <cfRule type="cellIs" dxfId="231" priority="253" operator="equal">
      <formula>"Extremo"</formula>
    </cfRule>
    <cfRule type="cellIs" dxfId="230" priority="254" operator="equal">
      <formula>"Alto"</formula>
    </cfRule>
    <cfRule type="cellIs" dxfId="229" priority="255" operator="equal">
      <formula>"Moderado"</formula>
    </cfRule>
    <cfRule type="cellIs" dxfId="228" priority="256" operator="equal">
      <formula>"Bajo"</formula>
    </cfRule>
  </conditionalFormatting>
  <conditionalFormatting sqref="Q24 S24:T24">
    <cfRule type="cellIs" dxfId="227" priority="245" operator="equal">
      <formula>"Extremo"</formula>
    </cfRule>
    <cfRule type="cellIs" dxfId="226" priority="246" operator="equal">
      <formula>"Alto"</formula>
    </cfRule>
    <cfRule type="cellIs" dxfId="225" priority="247" operator="equal">
      <formula>"Moderado"</formula>
    </cfRule>
    <cfRule type="cellIs" dxfId="224" priority="248" operator="equal">
      <formula>"Bajo"</formula>
    </cfRule>
  </conditionalFormatting>
  <conditionalFormatting sqref="BI22">
    <cfRule type="cellIs" dxfId="223" priority="249" operator="equal">
      <formula>"Extremo"</formula>
    </cfRule>
    <cfRule type="cellIs" dxfId="222" priority="250" operator="equal">
      <formula>"Alto"</formula>
    </cfRule>
    <cfRule type="cellIs" dxfId="221" priority="251" operator="equal">
      <formula>"Moderado"</formula>
    </cfRule>
    <cfRule type="cellIs" dxfId="220" priority="252" operator="equal">
      <formula>"Bajo"</formula>
    </cfRule>
  </conditionalFormatting>
  <conditionalFormatting sqref="BI24">
    <cfRule type="cellIs" dxfId="219" priority="241" operator="equal">
      <formula>"Extremo"</formula>
    </cfRule>
    <cfRule type="cellIs" dxfId="218" priority="242" operator="equal">
      <formula>"Alto"</formula>
    </cfRule>
    <cfRule type="cellIs" dxfId="217" priority="243" operator="equal">
      <formula>"Moderado"</formula>
    </cfRule>
    <cfRule type="cellIs" dxfId="216" priority="244" operator="equal">
      <formula>"Bajo"</formula>
    </cfRule>
  </conditionalFormatting>
  <conditionalFormatting sqref="Q26 S26:T26">
    <cfRule type="cellIs" dxfId="215" priority="237" operator="equal">
      <formula>"Extremo"</formula>
    </cfRule>
    <cfRule type="cellIs" dxfId="214" priority="238" operator="equal">
      <formula>"Alto"</formula>
    </cfRule>
    <cfRule type="cellIs" dxfId="213" priority="239" operator="equal">
      <formula>"Moderado"</formula>
    </cfRule>
    <cfRule type="cellIs" dxfId="212" priority="240" operator="equal">
      <formula>"Bajo"</formula>
    </cfRule>
  </conditionalFormatting>
  <conditionalFormatting sqref="Q28 S28:T28">
    <cfRule type="cellIs" dxfId="211" priority="229" operator="equal">
      <formula>"Extremo"</formula>
    </cfRule>
    <cfRule type="cellIs" dxfId="210" priority="230" operator="equal">
      <formula>"Alto"</formula>
    </cfRule>
    <cfRule type="cellIs" dxfId="209" priority="231" operator="equal">
      <formula>"Moderado"</formula>
    </cfRule>
    <cfRule type="cellIs" dxfId="208" priority="232" operator="equal">
      <formula>"Bajo"</formula>
    </cfRule>
  </conditionalFormatting>
  <conditionalFormatting sqref="BI26">
    <cfRule type="cellIs" dxfId="207" priority="233" operator="equal">
      <formula>"Extremo"</formula>
    </cfRule>
    <cfRule type="cellIs" dxfId="206" priority="234" operator="equal">
      <formula>"Alto"</formula>
    </cfRule>
    <cfRule type="cellIs" dxfId="205" priority="235" operator="equal">
      <formula>"Moderado"</formula>
    </cfRule>
    <cfRule type="cellIs" dxfId="204" priority="236" operator="equal">
      <formula>"Bajo"</formula>
    </cfRule>
  </conditionalFormatting>
  <conditionalFormatting sqref="BI28">
    <cfRule type="cellIs" dxfId="203" priority="225" operator="equal">
      <formula>"Extremo"</formula>
    </cfRule>
    <cfRule type="cellIs" dxfId="202" priority="226" operator="equal">
      <formula>"Alto"</formula>
    </cfRule>
    <cfRule type="cellIs" dxfId="201" priority="227" operator="equal">
      <formula>"Moderado"</formula>
    </cfRule>
    <cfRule type="cellIs" dxfId="200" priority="228" operator="equal">
      <formula>"Bajo"</formula>
    </cfRule>
  </conditionalFormatting>
  <conditionalFormatting sqref="Q30 S30:T30">
    <cfRule type="cellIs" dxfId="199" priority="221" operator="equal">
      <formula>"Extremo"</formula>
    </cfRule>
    <cfRule type="cellIs" dxfId="198" priority="222" operator="equal">
      <formula>"Alto"</formula>
    </cfRule>
    <cfRule type="cellIs" dxfId="197" priority="223" operator="equal">
      <formula>"Moderado"</formula>
    </cfRule>
    <cfRule type="cellIs" dxfId="196" priority="224" operator="equal">
      <formula>"Bajo"</formula>
    </cfRule>
  </conditionalFormatting>
  <conditionalFormatting sqref="BI30">
    <cfRule type="cellIs" dxfId="195" priority="217" operator="equal">
      <formula>"Extremo"</formula>
    </cfRule>
    <cfRule type="cellIs" dxfId="194" priority="218" operator="equal">
      <formula>"Alto"</formula>
    </cfRule>
    <cfRule type="cellIs" dxfId="193" priority="219" operator="equal">
      <formula>"Moderado"</formula>
    </cfRule>
    <cfRule type="cellIs" dxfId="192" priority="220" operator="equal">
      <formula>"Bajo"</formula>
    </cfRule>
  </conditionalFormatting>
  <conditionalFormatting sqref="Q32 S32:T32">
    <cfRule type="cellIs" dxfId="191" priority="213" operator="equal">
      <formula>"Extremo"</formula>
    </cfRule>
    <cfRule type="cellIs" dxfId="190" priority="214" operator="equal">
      <formula>"Alto"</formula>
    </cfRule>
    <cfRule type="cellIs" dxfId="189" priority="215" operator="equal">
      <formula>"Moderado"</formula>
    </cfRule>
    <cfRule type="cellIs" dxfId="188" priority="216" operator="equal">
      <formula>"Bajo"</formula>
    </cfRule>
  </conditionalFormatting>
  <conditionalFormatting sqref="BI32">
    <cfRule type="cellIs" dxfId="187" priority="209" operator="equal">
      <formula>"Extremo"</formula>
    </cfRule>
    <cfRule type="cellIs" dxfId="186" priority="210" operator="equal">
      <formula>"Alto"</formula>
    </cfRule>
    <cfRule type="cellIs" dxfId="185" priority="211" operator="equal">
      <formula>"Moderado"</formula>
    </cfRule>
    <cfRule type="cellIs" dxfId="184" priority="212" operator="equal">
      <formula>"Bajo"</formula>
    </cfRule>
  </conditionalFormatting>
  <conditionalFormatting sqref="Q34 S34:T34">
    <cfRule type="cellIs" dxfId="183" priority="205" operator="equal">
      <formula>"Extremo"</formula>
    </cfRule>
    <cfRule type="cellIs" dxfId="182" priority="206" operator="equal">
      <formula>"Alto"</formula>
    </cfRule>
    <cfRule type="cellIs" dxfId="181" priority="207" operator="equal">
      <formula>"Moderado"</formula>
    </cfRule>
    <cfRule type="cellIs" dxfId="180" priority="208" operator="equal">
      <formula>"Bajo"</formula>
    </cfRule>
  </conditionalFormatting>
  <conditionalFormatting sqref="BI34">
    <cfRule type="cellIs" dxfId="179" priority="201" operator="equal">
      <formula>"Extremo"</formula>
    </cfRule>
    <cfRule type="cellIs" dxfId="178" priority="202" operator="equal">
      <formula>"Alto"</formula>
    </cfRule>
    <cfRule type="cellIs" dxfId="177" priority="203" operator="equal">
      <formula>"Moderado"</formula>
    </cfRule>
    <cfRule type="cellIs" dxfId="176" priority="204" operator="equal">
      <formula>"Bajo"</formula>
    </cfRule>
  </conditionalFormatting>
  <conditionalFormatting sqref="Q36 S36:T36">
    <cfRule type="cellIs" dxfId="175" priority="197" operator="equal">
      <formula>"Extremo"</formula>
    </cfRule>
    <cfRule type="cellIs" dxfId="174" priority="198" operator="equal">
      <formula>"Alto"</formula>
    </cfRule>
    <cfRule type="cellIs" dxfId="173" priority="199" operator="equal">
      <formula>"Moderado"</formula>
    </cfRule>
    <cfRule type="cellIs" dxfId="172" priority="200" operator="equal">
      <formula>"Bajo"</formula>
    </cfRule>
  </conditionalFormatting>
  <conditionalFormatting sqref="BI36">
    <cfRule type="cellIs" dxfId="171" priority="193" operator="equal">
      <formula>"Extremo"</formula>
    </cfRule>
    <cfRule type="cellIs" dxfId="170" priority="194" operator="equal">
      <formula>"Alto"</formula>
    </cfRule>
    <cfRule type="cellIs" dxfId="169" priority="195" operator="equal">
      <formula>"Moderado"</formula>
    </cfRule>
    <cfRule type="cellIs" dxfId="168" priority="196" operator="equal">
      <formula>"Bajo"</formula>
    </cfRule>
  </conditionalFormatting>
  <conditionalFormatting sqref="Q38:Q39 S38:T39">
    <cfRule type="cellIs" dxfId="167" priority="189" operator="equal">
      <formula>"Extremo"</formula>
    </cfRule>
    <cfRule type="cellIs" dxfId="166" priority="190" operator="equal">
      <formula>"Alto"</formula>
    </cfRule>
    <cfRule type="cellIs" dxfId="165" priority="191" operator="equal">
      <formula>"Moderado"</formula>
    </cfRule>
    <cfRule type="cellIs" dxfId="164" priority="192" operator="equal">
      <formula>"Bajo"</formula>
    </cfRule>
  </conditionalFormatting>
  <conditionalFormatting sqref="BI38:BI39">
    <cfRule type="cellIs" dxfId="163" priority="185" operator="equal">
      <formula>"Extremo"</formula>
    </cfRule>
    <cfRule type="cellIs" dxfId="162" priority="186" operator="equal">
      <formula>"Alto"</formula>
    </cfRule>
    <cfRule type="cellIs" dxfId="161" priority="187" operator="equal">
      <formula>"Moderado"</formula>
    </cfRule>
    <cfRule type="cellIs" dxfId="160" priority="188" operator="equal">
      <formula>"Bajo"</formula>
    </cfRule>
  </conditionalFormatting>
  <conditionalFormatting sqref="Q41 S41:T41">
    <cfRule type="cellIs" dxfId="159" priority="181" operator="equal">
      <formula>"Extremo"</formula>
    </cfRule>
    <cfRule type="cellIs" dxfId="158" priority="182" operator="equal">
      <formula>"Alto"</formula>
    </cfRule>
    <cfRule type="cellIs" dxfId="157" priority="183" operator="equal">
      <formula>"Moderado"</formula>
    </cfRule>
    <cfRule type="cellIs" dxfId="156" priority="184" operator="equal">
      <formula>"Bajo"</formula>
    </cfRule>
  </conditionalFormatting>
  <conditionalFormatting sqref="Q43 S43:T43">
    <cfRule type="cellIs" dxfId="155" priority="177" operator="equal">
      <formula>"Extremo"</formula>
    </cfRule>
    <cfRule type="cellIs" dxfId="154" priority="178" operator="equal">
      <formula>"Alto"</formula>
    </cfRule>
    <cfRule type="cellIs" dxfId="153" priority="179" operator="equal">
      <formula>"Moderado"</formula>
    </cfRule>
    <cfRule type="cellIs" dxfId="152" priority="180" operator="equal">
      <formula>"Bajo"</formula>
    </cfRule>
  </conditionalFormatting>
  <conditionalFormatting sqref="BI41:BI43">
    <cfRule type="cellIs" dxfId="151" priority="173" operator="equal">
      <formula>"Extremo"</formula>
    </cfRule>
    <cfRule type="cellIs" dxfId="150" priority="174" operator="equal">
      <formula>"Alto"</formula>
    </cfRule>
    <cfRule type="cellIs" dxfId="149" priority="175" operator="equal">
      <formula>"Moderado"</formula>
    </cfRule>
    <cfRule type="cellIs" dxfId="148" priority="176" operator="equal">
      <formula>"Bajo"</formula>
    </cfRule>
  </conditionalFormatting>
  <conditionalFormatting sqref="Q45 S45:T45">
    <cfRule type="cellIs" dxfId="147" priority="169" operator="equal">
      <formula>"Extremo"</formula>
    </cfRule>
    <cfRule type="cellIs" dxfId="146" priority="170" operator="equal">
      <formula>"Alto"</formula>
    </cfRule>
    <cfRule type="cellIs" dxfId="145" priority="171" operator="equal">
      <formula>"Moderado"</formula>
    </cfRule>
    <cfRule type="cellIs" dxfId="144" priority="172" operator="equal">
      <formula>"Bajo"</formula>
    </cfRule>
  </conditionalFormatting>
  <conditionalFormatting sqref="BI45">
    <cfRule type="cellIs" dxfId="143" priority="165" operator="equal">
      <formula>"Extremo"</formula>
    </cfRule>
    <cfRule type="cellIs" dxfId="142" priority="166" operator="equal">
      <formula>"Alto"</formula>
    </cfRule>
    <cfRule type="cellIs" dxfId="141" priority="167" operator="equal">
      <formula>"Moderado"</formula>
    </cfRule>
    <cfRule type="cellIs" dxfId="140" priority="168" operator="equal">
      <formula>"Bajo"</formula>
    </cfRule>
  </conditionalFormatting>
  <conditionalFormatting sqref="Q47 S47:T47">
    <cfRule type="cellIs" dxfId="139" priority="161" operator="equal">
      <formula>"Extremo"</formula>
    </cfRule>
    <cfRule type="cellIs" dxfId="138" priority="162" operator="equal">
      <formula>"Alto"</formula>
    </cfRule>
    <cfRule type="cellIs" dxfId="137" priority="163" operator="equal">
      <formula>"Moderado"</formula>
    </cfRule>
    <cfRule type="cellIs" dxfId="136" priority="164" operator="equal">
      <formula>"Bajo"</formula>
    </cfRule>
  </conditionalFormatting>
  <conditionalFormatting sqref="Q49 S49:T49">
    <cfRule type="cellIs" dxfId="135" priority="153" operator="equal">
      <formula>"Extremo"</formula>
    </cfRule>
    <cfRule type="cellIs" dxfId="134" priority="154" operator="equal">
      <formula>"Alto"</formula>
    </cfRule>
    <cfRule type="cellIs" dxfId="133" priority="155" operator="equal">
      <formula>"Moderado"</formula>
    </cfRule>
    <cfRule type="cellIs" dxfId="132" priority="156" operator="equal">
      <formula>"Bajo"</formula>
    </cfRule>
  </conditionalFormatting>
  <conditionalFormatting sqref="BI47">
    <cfRule type="cellIs" dxfId="131" priority="157" operator="equal">
      <formula>"Extremo"</formula>
    </cfRule>
    <cfRule type="cellIs" dxfId="130" priority="158" operator="equal">
      <formula>"Alto"</formula>
    </cfRule>
    <cfRule type="cellIs" dxfId="129" priority="159" operator="equal">
      <formula>"Moderado"</formula>
    </cfRule>
    <cfRule type="cellIs" dxfId="128" priority="160" operator="equal">
      <formula>"Bajo"</formula>
    </cfRule>
  </conditionalFormatting>
  <conditionalFormatting sqref="BI49">
    <cfRule type="cellIs" dxfId="127" priority="149" operator="equal">
      <formula>"Extremo"</formula>
    </cfRule>
    <cfRule type="cellIs" dxfId="126" priority="150" operator="equal">
      <formula>"Alto"</formula>
    </cfRule>
    <cfRule type="cellIs" dxfId="125" priority="151" operator="equal">
      <formula>"Moderado"</formula>
    </cfRule>
    <cfRule type="cellIs" dxfId="124" priority="152" operator="equal">
      <formula>"Bajo"</formula>
    </cfRule>
  </conditionalFormatting>
  <conditionalFormatting sqref="Q51 S51:T51">
    <cfRule type="cellIs" dxfId="123" priority="145" operator="equal">
      <formula>"Extremo"</formula>
    </cfRule>
    <cfRule type="cellIs" dxfId="122" priority="146" operator="equal">
      <formula>"Alto"</formula>
    </cfRule>
    <cfRule type="cellIs" dxfId="121" priority="147" operator="equal">
      <formula>"Moderado"</formula>
    </cfRule>
    <cfRule type="cellIs" dxfId="120" priority="148" operator="equal">
      <formula>"Bajo"</formula>
    </cfRule>
  </conditionalFormatting>
  <conditionalFormatting sqref="Q53 S53:T53">
    <cfRule type="cellIs" dxfId="119" priority="137" operator="equal">
      <formula>"Extremo"</formula>
    </cfRule>
    <cfRule type="cellIs" dxfId="118" priority="138" operator="equal">
      <formula>"Alto"</formula>
    </cfRule>
    <cfRule type="cellIs" dxfId="117" priority="139" operator="equal">
      <formula>"Moderado"</formula>
    </cfRule>
    <cfRule type="cellIs" dxfId="116" priority="140" operator="equal">
      <formula>"Bajo"</formula>
    </cfRule>
  </conditionalFormatting>
  <conditionalFormatting sqref="BI51">
    <cfRule type="cellIs" dxfId="115" priority="141" operator="equal">
      <formula>"Extremo"</formula>
    </cfRule>
    <cfRule type="cellIs" dxfId="114" priority="142" operator="equal">
      <formula>"Alto"</formula>
    </cfRule>
    <cfRule type="cellIs" dxfId="113" priority="143" operator="equal">
      <formula>"Moderado"</formula>
    </cfRule>
    <cfRule type="cellIs" dxfId="112" priority="144" operator="equal">
      <formula>"Bajo"</formula>
    </cfRule>
  </conditionalFormatting>
  <conditionalFormatting sqref="BI53">
    <cfRule type="cellIs" dxfId="111" priority="133" operator="equal">
      <formula>"Extremo"</formula>
    </cfRule>
    <cfRule type="cellIs" dxfId="110" priority="134" operator="equal">
      <formula>"Alto"</formula>
    </cfRule>
    <cfRule type="cellIs" dxfId="109" priority="135" operator="equal">
      <formula>"Moderado"</formula>
    </cfRule>
    <cfRule type="cellIs" dxfId="108" priority="136" operator="equal">
      <formula>"Bajo"</formula>
    </cfRule>
  </conditionalFormatting>
  <conditionalFormatting sqref="Q55 S55:T55">
    <cfRule type="cellIs" dxfId="107" priority="105" operator="equal">
      <formula>"Extremo"</formula>
    </cfRule>
    <cfRule type="cellIs" dxfId="106" priority="106" operator="equal">
      <formula>"Alto"</formula>
    </cfRule>
    <cfRule type="cellIs" dxfId="105" priority="107" operator="equal">
      <formula>"Moderado"</formula>
    </cfRule>
    <cfRule type="cellIs" dxfId="104" priority="108" operator="equal">
      <formula>"Bajo"</formula>
    </cfRule>
  </conditionalFormatting>
  <conditionalFormatting sqref="Q57 S57:T57">
    <cfRule type="cellIs" dxfId="103" priority="97" operator="equal">
      <formula>"Extremo"</formula>
    </cfRule>
    <cfRule type="cellIs" dxfId="102" priority="98" operator="equal">
      <formula>"Alto"</formula>
    </cfRule>
    <cfRule type="cellIs" dxfId="101" priority="99" operator="equal">
      <formula>"Moderado"</formula>
    </cfRule>
    <cfRule type="cellIs" dxfId="100" priority="100" operator="equal">
      <formula>"Bajo"</formula>
    </cfRule>
  </conditionalFormatting>
  <conditionalFormatting sqref="BI55">
    <cfRule type="cellIs" dxfId="99" priority="101" operator="equal">
      <formula>"Extremo"</formula>
    </cfRule>
    <cfRule type="cellIs" dxfId="98" priority="102" operator="equal">
      <formula>"Alto"</formula>
    </cfRule>
    <cfRule type="cellIs" dxfId="97" priority="103" operator="equal">
      <formula>"Moderado"</formula>
    </cfRule>
    <cfRule type="cellIs" dxfId="96" priority="104" operator="equal">
      <formula>"Bajo"</formula>
    </cfRule>
  </conditionalFormatting>
  <conditionalFormatting sqref="BI57">
    <cfRule type="cellIs" dxfId="95" priority="93" operator="equal">
      <formula>"Extremo"</formula>
    </cfRule>
    <cfRule type="cellIs" dxfId="94" priority="94" operator="equal">
      <formula>"Alto"</formula>
    </cfRule>
    <cfRule type="cellIs" dxfId="93" priority="95" operator="equal">
      <formula>"Moderado"</formula>
    </cfRule>
    <cfRule type="cellIs" dxfId="92" priority="96" operator="equal">
      <formula>"Bajo"</formula>
    </cfRule>
  </conditionalFormatting>
  <conditionalFormatting sqref="Q59 S59:T59">
    <cfRule type="cellIs" dxfId="91" priority="89" operator="equal">
      <formula>"Extremo"</formula>
    </cfRule>
    <cfRule type="cellIs" dxfId="90" priority="90" operator="equal">
      <formula>"Alto"</formula>
    </cfRule>
    <cfRule type="cellIs" dxfId="89" priority="91" operator="equal">
      <formula>"Moderado"</formula>
    </cfRule>
    <cfRule type="cellIs" dxfId="88" priority="92" operator="equal">
      <formula>"Bajo"</formula>
    </cfRule>
  </conditionalFormatting>
  <conditionalFormatting sqref="BI59">
    <cfRule type="cellIs" dxfId="87" priority="85" operator="equal">
      <formula>"Extremo"</formula>
    </cfRule>
    <cfRule type="cellIs" dxfId="86" priority="86" operator="equal">
      <formula>"Alto"</formula>
    </cfRule>
    <cfRule type="cellIs" dxfId="85" priority="87" operator="equal">
      <formula>"Moderado"</formula>
    </cfRule>
    <cfRule type="cellIs" dxfId="84" priority="88" operator="equal">
      <formula>"Bajo"</formula>
    </cfRule>
  </conditionalFormatting>
  <conditionalFormatting sqref="Q61 S61:T61">
    <cfRule type="cellIs" dxfId="83" priority="81" operator="equal">
      <formula>"Extremo"</formula>
    </cfRule>
    <cfRule type="cellIs" dxfId="82" priority="82" operator="equal">
      <formula>"Alto"</formula>
    </cfRule>
    <cfRule type="cellIs" dxfId="81" priority="83" operator="equal">
      <formula>"Moderado"</formula>
    </cfRule>
    <cfRule type="cellIs" dxfId="80" priority="84" operator="equal">
      <formula>"Bajo"</formula>
    </cfRule>
  </conditionalFormatting>
  <conditionalFormatting sqref="Q63 S63:T63">
    <cfRule type="cellIs" dxfId="79" priority="73" operator="equal">
      <formula>"Extremo"</formula>
    </cfRule>
    <cfRule type="cellIs" dxfId="78" priority="74" operator="equal">
      <formula>"Alto"</formula>
    </cfRule>
    <cfRule type="cellIs" dxfId="77" priority="75" operator="equal">
      <formula>"Moderado"</formula>
    </cfRule>
    <cfRule type="cellIs" dxfId="76" priority="76" operator="equal">
      <formula>"Bajo"</formula>
    </cfRule>
  </conditionalFormatting>
  <conditionalFormatting sqref="BI61">
    <cfRule type="cellIs" dxfId="75" priority="77" operator="equal">
      <formula>"Extremo"</formula>
    </cfRule>
    <cfRule type="cellIs" dxfId="74" priority="78" operator="equal">
      <formula>"Alto"</formula>
    </cfRule>
    <cfRule type="cellIs" dxfId="73" priority="79" operator="equal">
      <formula>"Moderado"</formula>
    </cfRule>
    <cfRule type="cellIs" dxfId="72" priority="80" operator="equal">
      <formula>"Bajo"</formula>
    </cfRule>
  </conditionalFormatting>
  <conditionalFormatting sqref="BI63">
    <cfRule type="cellIs" dxfId="71" priority="69" operator="equal">
      <formula>"Extremo"</formula>
    </cfRule>
    <cfRule type="cellIs" dxfId="70" priority="70" operator="equal">
      <formula>"Alto"</formula>
    </cfRule>
    <cfRule type="cellIs" dxfId="69" priority="71" operator="equal">
      <formula>"Moderado"</formula>
    </cfRule>
    <cfRule type="cellIs" dxfId="68" priority="72" operator="equal">
      <formula>"Bajo"</formula>
    </cfRule>
  </conditionalFormatting>
  <conditionalFormatting sqref="Q65 S65:T65">
    <cfRule type="cellIs" dxfId="67" priority="65" operator="equal">
      <formula>"Extremo"</formula>
    </cfRule>
    <cfRule type="cellIs" dxfId="66" priority="66" operator="equal">
      <formula>"Alto"</formula>
    </cfRule>
    <cfRule type="cellIs" dxfId="65" priority="67" operator="equal">
      <formula>"Moderado"</formula>
    </cfRule>
    <cfRule type="cellIs" dxfId="64" priority="68" operator="equal">
      <formula>"Bajo"</formula>
    </cfRule>
  </conditionalFormatting>
  <conditionalFormatting sqref="BI65">
    <cfRule type="cellIs" dxfId="63" priority="61" operator="equal">
      <formula>"Extremo"</formula>
    </cfRule>
    <cfRule type="cellIs" dxfId="62" priority="62" operator="equal">
      <formula>"Alto"</formula>
    </cfRule>
    <cfRule type="cellIs" dxfId="61" priority="63" operator="equal">
      <formula>"Moderado"</formula>
    </cfRule>
    <cfRule type="cellIs" dxfId="60" priority="64" operator="equal">
      <formula>"Bajo"</formula>
    </cfRule>
  </conditionalFormatting>
  <conditionalFormatting sqref="Q67 S67:T67">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Q69 S69:T69 Q71 S71:T71 Q73 S73:T73 Q76 S76:T76 Q79 S79:T79 Q82 S82:T82">
    <cfRule type="cellIs" dxfId="55" priority="49" operator="equal">
      <formula>"Extremo"</formula>
    </cfRule>
    <cfRule type="cellIs" dxfId="54" priority="50" operator="equal">
      <formula>"Alto"</formula>
    </cfRule>
    <cfRule type="cellIs" dxfId="53" priority="51" operator="equal">
      <formula>"Moderado"</formula>
    </cfRule>
    <cfRule type="cellIs" dxfId="52" priority="52" operator="equal">
      <formula>"Bajo"</formula>
    </cfRule>
  </conditionalFormatting>
  <conditionalFormatting sqref="BI67">
    <cfRule type="cellIs" dxfId="51" priority="53" operator="equal">
      <formula>"Extremo"</formula>
    </cfRule>
    <cfRule type="cellIs" dxfId="50" priority="54" operator="equal">
      <formula>"Alto"</formula>
    </cfRule>
    <cfRule type="cellIs" dxfId="49" priority="55" operator="equal">
      <formula>"Moderado"</formula>
    </cfRule>
    <cfRule type="cellIs" dxfId="48" priority="56" operator="equal">
      <formula>"Bajo"</formula>
    </cfRule>
  </conditionalFormatting>
  <conditionalFormatting sqref="BI69 BI71 BI73 BI76 BI82">
    <cfRule type="cellIs" dxfId="47" priority="45" operator="equal">
      <formula>"Extremo"</formula>
    </cfRule>
    <cfRule type="cellIs" dxfId="46" priority="46" operator="equal">
      <formula>"Alto"</formula>
    </cfRule>
    <cfRule type="cellIs" dxfId="45" priority="47" operator="equal">
      <formula>"Moderado"</formula>
    </cfRule>
    <cfRule type="cellIs" dxfId="44" priority="48" operator="equal">
      <formula>"Bajo"</formula>
    </cfRule>
  </conditionalFormatting>
  <conditionalFormatting sqref="BI79">
    <cfRule type="cellIs" dxfId="43" priority="41" operator="equal">
      <formula>"Extremo"</formula>
    </cfRule>
    <cfRule type="cellIs" dxfId="42" priority="42" operator="equal">
      <formula>"Alto"</formula>
    </cfRule>
    <cfRule type="cellIs" dxfId="41" priority="43" operator="equal">
      <formula>"Moderado"</formula>
    </cfRule>
    <cfRule type="cellIs" dxfId="40" priority="44" operator="equal">
      <formula>"Bajo"</formula>
    </cfRule>
  </conditionalFormatting>
  <conditionalFormatting sqref="Q84 S84:T84">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Q87 S87:T87">
    <cfRule type="cellIs" dxfId="35" priority="37" operator="equal">
      <formula>"Extremo"</formula>
    </cfRule>
    <cfRule type="cellIs" dxfId="34" priority="38" operator="equal">
      <formula>"Alto"</formula>
    </cfRule>
    <cfRule type="cellIs" dxfId="33" priority="39" operator="equal">
      <formula>"Moderado"</formula>
    </cfRule>
    <cfRule type="cellIs" dxfId="32" priority="40" operator="equal">
      <formula>"Bajo"</formula>
    </cfRule>
  </conditionalFormatting>
  <conditionalFormatting sqref="Q89 S89:T89">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BI84">
    <cfRule type="cellIs" dxfId="27" priority="17" operator="equal">
      <formula>"Extremo"</formula>
    </cfRule>
    <cfRule type="cellIs" dxfId="26" priority="18" operator="equal">
      <formula>"Alto"</formula>
    </cfRule>
    <cfRule type="cellIs" dxfId="25" priority="19" operator="equal">
      <formula>"Moderado"</formula>
    </cfRule>
    <cfRule type="cellIs" dxfId="24" priority="20" operator="equal">
      <formula>"Bajo"</formula>
    </cfRule>
  </conditionalFormatting>
  <conditionalFormatting sqref="BI87">
    <cfRule type="cellIs" dxfId="23" priority="33" operator="equal">
      <formula>"Extremo"</formula>
    </cfRule>
    <cfRule type="cellIs" dxfId="22" priority="34" operator="equal">
      <formula>"Alto"</formula>
    </cfRule>
    <cfRule type="cellIs" dxfId="21" priority="35" operator="equal">
      <formula>"Moderado"</formula>
    </cfRule>
    <cfRule type="cellIs" dxfId="20" priority="36" operator="equal">
      <formula>"Bajo"</formula>
    </cfRule>
  </conditionalFormatting>
  <conditionalFormatting sqref="BI89">
    <cfRule type="cellIs" dxfId="19" priority="25" operator="equal">
      <formula>"Extremo"</formula>
    </cfRule>
    <cfRule type="cellIs" dxfId="18" priority="26" operator="equal">
      <formula>"Alto"</formula>
    </cfRule>
    <cfRule type="cellIs" dxfId="17" priority="27" operator="equal">
      <formula>"Moderado"</formula>
    </cfRule>
    <cfRule type="cellIs" dxfId="16" priority="28" operator="equal">
      <formula>"Bajo"</formula>
    </cfRule>
  </conditionalFormatting>
  <conditionalFormatting sqref="Q91 S91:T91">
    <cfRule type="cellIs" dxfId="15" priority="13" operator="equal">
      <formula>"Extremo"</formula>
    </cfRule>
    <cfRule type="cellIs" dxfId="14" priority="14" operator="equal">
      <formula>"Alto"</formula>
    </cfRule>
    <cfRule type="cellIs" dxfId="13" priority="15" operator="equal">
      <formula>"Moderado"</formula>
    </cfRule>
    <cfRule type="cellIs" dxfId="12" priority="16" operator="equal">
      <formula>"Bajo"</formula>
    </cfRule>
  </conditionalFormatting>
  <conditionalFormatting sqref="Q94 S94:T94">
    <cfRule type="cellIs" dxfId="11" priority="5" operator="equal">
      <formula>"Extremo"</formula>
    </cfRule>
    <cfRule type="cellIs" dxfId="10" priority="6" operator="equal">
      <formula>"Alto"</formula>
    </cfRule>
    <cfRule type="cellIs" dxfId="9" priority="7" operator="equal">
      <formula>"Moderado"</formula>
    </cfRule>
    <cfRule type="cellIs" dxfId="8" priority="8" operator="equal">
      <formula>"Bajo"</formula>
    </cfRule>
  </conditionalFormatting>
  <conditionalFormatting sqref="BI91">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conditionalFormatting sqref="BI9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30">
    <dataValidation allowBlank="1" showInputMessage="1" showErrorMessage="1" prompt="Fuerte: 100_x000a__x000a_Moderado: Entre 50 y 99_x000a__x000a_Débil: Menor a 50" sqref="BB6" xr:uid="{00000000-0002-0000-0200-000000000000}"/>
    <dataValidation allowBlank="1" showInputMessage="1" showErrorMessage="1" prompt="Fuerte: 100_x000a__x000a_Moderado: 50_x000a__x000a_Débil: 0" sqref="AZ6" xr:uid="{00000000-0002-0000-0200-000001000000}"/>
    <dataValidation allowBlank="1" showInputMessage="1" showErrorMessage="1" prompt="Fuerte: Siempre se ejecuta_x000a__x000a_Moderado: Algunas veces_x000a__x000a_Débil: No se ejecuta " sqref="AN6:AO6" xr:uid="{00000000-0002-0000-0200-000002000000}"/>
    <dataValidation allowBlank="1" showInputMessage="1" showErrorMessage="1" prompt="Fuerte: Calificación entre 96 y 100_x000a__x000a_Moderado: Calificación entre 86 y 95_x000a__x000a_Débil: Calificación entre 0 y 85" sqref="AM6 AX6" xr:uid="{00000000-0002-0000-0200-000003000000}"/>
    <dataValidation allowBlank="1" showInputMessage="1" showErrorMessage="1" prompt="- Confiable (15)_x000a__x000a_- No Confiable (0)_x000a_" sqref="AF6:AG6" xr:uid="{00000000-0002-0000-0200-000004000000}"/>
    <dataValidation allowBlank="1" showInputMessage="1" showErrorMessage="1" prompt="- Prevenir (15)_x000a__x000a_- Detectar (10)_x000a__x000a_- No es un Control (0)" sqref="AD6:AE6" xr:uid="{00000000-0002-0000-0200-000005000000}"/>
    <dataValidation allowBlank="1" showInputMessage="1" showErrorMessage="1" prompt="- Oportuna (15)_x000a__x000a_- Inoportuna (0)_x000a_" sqref="AB6:AC6" xr:uid="{00000000-0002-0000-0200-000006000000}"/>
    <dataValidation allowBlank="1" showInputMessage="1" showErrorMessage="1" prompt="- Asignado (15)_x000a__x000a_- No Asignado (0)" sqref="X6:Y6" xr:uid="{00000000-0002-0000-02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xr:uid="{00000000-0002-0000-0200-000008000000}"/>
    <dataValidation allowBlank="1" showInputMessage="1" showErrorMessage="1" prompt="Completa (10)_x000a__x000a_Incompleta (5)_x000a__x000a_No esxiste (0)" sqref="AJ6:AK6" xr:uid="{00000000-0002-0000-0200-000009000000}"/>
    <dataValidation allowBlank="1" showInputMessage="1" showErrorMessage="1" prompt="- Se investigan y se resuelven Oportunamente (15)_x000a__x000a_- No se investigan y resuelven Oportunamente (0)_x000a_" sqref="AH6:AI6" xr:uid="{00000000-0002-0000-0200-00000A000000}"/>
    <dataValidation allowBlank="1" showInputMessage="1" showErrorMessage="1" prompt="- Adecuado (15)_x000a__x000a_- Inadecuado (0)_x000a_" sqref="Z6:AA6" xr:uid="{00000000-0002-0000-0200-00000B000000}"/>
    <dataValidation allowBlank="1" showInputMessage="1" showErrorMessage="1" prompt="Promedio entre el diseño Total de Control y Total Solidez Individual " sqref="BA6" xr:uid="{00000000-0002-0000-02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xr:uid="{00000000-0002-0000-02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xr:uid="{00000000-0002-0000-02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xr:uid="{00000000-0002-0000-02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xr:uid="{00000000-0002-0000-0200-000010000000}"/>
    <dataValidation type="list" allowBlank="1" showInputMessage="1" showErrorMessage="1" sqref="V7 V10:V11 V14:V16 V18:V20 V22:V24 V26:V28 V30 V32 V34 V36 V43 V45 V47:V49 V51:V53 V55:V57 V59 V61:V63 V65 V67:V72 V87:V91 V94" xr:uid="{00000000-0002-0000-0200-000011000000}">
      <formula1>$J7:$J8</formula1>
    </dataValidation>
    <dataValidation type="list" allowBlank="1" showInputMessage="1" showErrorMessage="1" sqref="V8 V17 V21 V25 V29 V31 V33 V35 V37 V40:V41 V44 V46 V50 V54 V58 V60 V64 V66 V95" xr:uid="{00000000-0002-0000-0200-000012000000}">
      <formula1>$J8:$J8</formula1>
    </dataValidation>
    <dataValidation type="list" allowBlank="1" showInputMessage="1" showErrorMessage="1" sqref="V9 V38:V39 V42 V73:V75 V92:V93" xr:uid="{00000000-0002-0000-0200-000013000000}">
      <formula1>$J9:$J11</formula1>
    </dataValidation>
    <dataValidation type="list" allowBlank="1" showInputMessage="1" showErrorMessage="1" sqref="V12:V13" xr:uid="{00000000-0002-0000-0200-000014000000}">
      <formula1>$J$7:$J$7</formula1>
    </dataValidation>
    <dataValidation type="list" allowBlank="1" showInputMessage="1" showErrorMessage="1" sqref="J7:J95 T7:T95 V77" xr:uid="{00000000-0002-0000-0200-000015000000}">
      <formula1>INDIRECT(I7)</formula1>
    </dataValidation>
    <dataValidation type="list" allowBlank="1" showInputMessage="1" showErrorMessage="1" sqref="H7:H95" xr:uid="{00000000-0002-0000-0200-000016000000}">
      <formula1>INDIRECT(E7)</formula1>
    </dataValidation>
    <dataValidation type="list" allowBlank="1" showInputMessage="1" showErrorMessage="1" sqref="V81 V79" xr:uid="{00000000-0002-0000-0200-000017000000}">
      <formula1>$J$19:$J$21</formula1>
    </dataValidation>
    <dataValidation type="list" allowBlank="1" showInputMessage="1" showErrorMessage="1" sqref="V83" xr:uid="{00000000-0002-0000-0200-000018000000}">
      <formula1>$J$22:$J$23</formula1>
    </dataValidation>
    <dataValidation type="list" allowBlank="1" showInputMessage="1" showErrorMessage="1" sqref="V82" xr:uid="{00000000-0002-0000-0200-000019000000}">
      <formula1>$H$22:$H$23</formula1>
    </dataValidation>
    <dataValidation type="list" allowBlank="1" showInputMessage="1" showErrorMessage="1" sqref="V76" xr:uid="{00000000-0002-0000-0200-00001A000000}">
      <formula1>$J73:$J75</formula1>
    </dataValidation>
    <dataValidation type="list" allowBlank="1" showInputMessage="1" showErrorMessage="1" sqref="V80" xr:uid="{00000000-0002-0000-0200-00001B000000}">
      <formula1>$H$19:$H$21</formula1>
    </dataValidation>
    <dataValidation type="list" allowBlank="1" showInputMessage="1" showErrorMessage="1" sqref="V78" xr:uid="{00000000-0002-0000-0200-00001C000000}">
      <formula1>$H$16:$H$18</formula1>
    </dataValidation>
    <dataValidation type="list" allowBlank="1" showInputMessage="1" showErrorMessage="1" sqref="V84:V86" xr:uid="{00000000-0002-0000-0200-00001D000000}">
      <formula1>$J$55:$J$57</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80">
        <x14:dataValidation type="list" allowBlank="1" showInputMessage="1" showErrorMessage="1" xr:uid="{00000000-0002-0000-0200-00001E000000}">
          <x14:formula1>
            <xm:f>Listados!$B$3:$B$20</xm:f>
          </x14:formula1>
          <xm:sqref>B7:B8</xm:sqref>
        </x14:dataValidation>
        <x14:dataValidation type="list" allowBlank="1" showInputMessage="1" showErrorMessage="1" xr:uid="{00000000-0002-0000-0200-00001F000000}">
          <x14:formula1>
            <xm:f>'Seguridad Información'!$B$25:$B$29</xm:f>
          </x14:formula1>
          <xm:sqref>L7:L8</xm:sqref>
        </x14:dataValidation>
        <x14:dataValidation type="list" allowBlank="1" showInputMessage="1" showErrorMessage="1" xr:uid="{00000000-0002-0000-0200-000020000000}">
          <x14:formula1>
            <xm:f>Listados!$G$3:$G$7</xm:f>
          </x14:formula1>
          <xm:sqref>O7:O8</xm:sqref>
        </x14:dataValidation>
        <x14:dataValidation type="list" allowBlank="1" showInputMessage="1" showErrorMessage="1" xr:uid="{00000000-0002-0000-0200-000021000000}">
          <x14:formula1>
            <xm:f>Listados!$B$26:$B$27</xm:f>
          </x14:formula1>
          <xm:sqref>AB7:AB8 X7:X8 AD7:AD8 AF7:AF8 AH7:AH8 Z7:Z8 Z96:Z1048576</xm:sqref>
        </x14:dataValidation>
        <x14:dataValidation type="list" allowBlank="1" showInputMessage="1" showErrorMessage="1" xr:uid="{00000000-0002-0000-0200-000022000000}">
          <x14:formula1>
            <xm:f>Corrupción!$J$3:$J$7</xm:f>
          </x14:formula1>
          <xm:sqref>M7:M8</xm:sqref>
        </x14:dataValidation>
        <x14:dataValidation type="list" allowBlank="1" showInputMessage="1" showErrorMessage="1" xr:uid="{00000000-0002-0000-0200-000023000000}">
          <x14:formula1>
            <xm:f>Listados!$G$29:$G$30</xm:f>
          </x14:formula1>
          <xm:sqref>W7:W8</xm:sqref>
        </x14:dataValidation>
        <x14:dataValidation type="list" allowBlank="1" showInputMessage="1" showErrorMessage="1" xr:uid="{00000000-0002-0000-0200-000024000000}">
          <x14:formula1>
            <xm:f>Listados!$C$26:$C$28</xm:f>
          </x14:formula1>
          <xm:sqref>AJ7:AJ8</xm:sqref>
        </x14:dataValidation>
        <x14:dataValidation type="list" allowBlank="1" showInputMessage="1" showErrorMessage="1" xr:uid="{00000000-0002-0000-0200-000025000000}">
          <x14:formula1>
            <xm:f>'Seguridad Información'!$B$44:$O$44</xm:f>
          </x14:formula1>
          <xm:sqref>S7:S8</xm:sqref>
        </x14:dataValidation>
        <x14:dataValidation type="list" allowBlank="1" showInputMessage="1" showErrorMessage="1" xr:uid="{00000000-0002-0000-0200-000026000000}">
          <x14:formula1>
            <xm:f>'Seguridad Información'!$C$61:$C$63</xm:f>
          </x14:formula1>
          <xm:sqref>AN7:AN8</xm:sqref>
        </x14:dataValidation>
        <x14:dataValidation type="list" allowBlank="1" showInputMessage="1" showErrorMessage="1" xr:uid="{00000000-0002-0000-0200-000027000000}">
          <x14:formula1>
            <xm:f>'Seguridad Información'!$E$61:$E$64</xm:f>
          </x14:formula1>
          <xm:sqref>AP7:AP8</xm:sqref>
        </x14:dataValidation>
        <x14:dataValidation type="list" allowBlank="1" showInputMessage="1" showErrorMessage="1" xr:uid="{00000000-0002-0000-0200-000028000000}">
          <x14:formula1>
            <xm:f>'Seguridad Información'!$G$61:$G$64</xm:f>
          </x14:formula1>
          <xm:sqref>AR7:AR8</xm:sqref>
        </x14:dataValidation>
        <x14:dataValidation type="list" allowBlank="1" showInputMessage="1" showErrorMessage="1" xr:uid="{00000000-0002-0000-0200-000029000000}">
          <x14:formula1>
            <xm:f>'Seguridad Información'!$I$61:$I$65</xm:f>
          </x14:formula1>
          <xm:sqref>AT7:AT8</xm:sqref>
        </x14:dataValidation>
        <x14:dataValidation type="list" allowBlank="1" showInputMessage="1" showErrorMessage="1" xr:uid="{00000000-0002-0000-0200-00002A000000}">
          <x14:formula1>
            <xm:f>'Seguridad Información'!$B$14:$D$14</xm:f>
          </x14:formula1>
          <xm:sqref>G7:G8</xm:sqref>
        </x14:dataValidation>
        <x14:dataValidation type="list" allowBlank="1" showInputMessage="1" showErrorMessage="1" xr:uid="{00000000-0002-0000-0200-00002B000000}">
          <x14:formula1>
            <xm:f>'Seguridad Información'!$G$2:$I$2</xm:f>
          </x14:formula1>
          <xm:sqref>E7:E8</xm:sqref>
        </x14:dataValidation>
        <x14:dataValidation type="list" allowBlank="1" showInputMessage="1" showErrorMessage="1" xr:uid="{00000000-0002-0000-0200-00002C000000}">
          <x14:formula1>
            <xm:f>'Seguridad Información'!$B$2:$B$4</xm:f>
          </x14:formula1>
          <xm:sqref>F7:F8</xm:sqref>
        </x14:dataValidation>
        <x14:dataValidation type="list" allowBlank="1" showInputMessage="1" showErrorMessage="1" xr:uid="{00000000-0002-0000-0200-00002D000000}">
          <x14:formula1>
            <xm:f>'Seguridad Información'!$B$19:$D$19</xm:f>
          </x14:formula1>
          <xm:sqref>I7:I8</xm:sqref>
        </x14:dataValidation>
        <x14:dataValidation type="list" allowBlank="1" showInputMessage="1" showErrorMessage="1" xr:uid="{00000000-0002-0000-0200-00002E000000}">
          <x14:formula1>
            <xm:f>Listados!$E$3:$E$4</xm:f>
          </x14:formula1>
          <xm:sqref>K7:K8 K96:K1048576</xm:sqref>
        </x14:dataValidation>
        <x14:dataValidation type="list" allowBlank="1" showInputMessage="1" showErrorMessage="1" xr:uid="{00000000-0002-0000-0200-00002F000000}">
          <x14:formula1>
            <xm:f>'C:\Users\PC\Desktop\[Riesgos Seguridad DE DAI Ajuste Anexo.xlsx]Listados'!#REF!</xm:f>
          </x14:formula1>
          <xm:sqref>K9:K11 B9 O9:O11 AD9:AD11 AF9:AF11 AH9:AH11 AB9:AB11 Z9:Z11 W9:X11 AJ9:AJ11</xm:sqref>
        </x14:dataValidation>
        <x14:dataValidation type="list" allowBlank="1" showInputMessage="1" showErrorMessage="1" xr:uid="{00000000-0002-0000-0200-000030000000}">
          <x14:formula1>
            <xm:f>'C:\Users\PC\Desktop\[Riesgos Seguridad DE DAI Ajuste Anexo.xlsx]Seguridad Información'!#REF!</xm:f>
          </x14:formula1>
          <xm:sqref>I9:I11 L9:L11 S9:S11 AP9:AP11 AR9:AR11 AT9:AT11 E9:G11 AN9:AN11</xm:sqref>
        </x14:dataValidation>
        <x14:dataValidation type="list" allowBlank="1" showInputMessage="1" showErrorMessage="1" xr:uid="{00000000-0002-0000-0200-000032000000}">
          <x14:formula1>
            <xm:f>'C:\Users\PC\Desktop\[Riesgos Seguridad DE DAI Ajuste Anexo.xlsx]Corrupción'!#REF!</xm:f>
          </x14:formula1>
          <xm:sqref>M9:M11</xm:sqref>
        </x14:dataValidation>
        <x14:dataValidation type="list" allowBlank="1" showInputMessage="1" showErrorMessage="1" xr:uid="{00000000-0002-0000-0200-000033000000}">
          <x14:formula1>
            <xm:f>'C:\Users\PC\Desktop\Unificación matriz de activos y riesgo\1. Activos de información por Área-Proceso 2024\03. Oficina Asesora de Planeación\[Matriz de riesgos de seguridad Oficina Asesora de Planeación 2024.xlsx]Seguridad Información'!#REF!</xm:f>
          </x14:formula1>
          <xm:sqref>I12 L12 S12 E12:G12 AN12 AP12 AR12 AT12</xm:sqref>
        </x14:dataValidation>
        <x14:dataValidation type="list" allowBlank="1" showInputMessage="1" showErrorMessage="1" xr:uid="{00000000-0002-0000-0200-000034000000}">
          <x14:formula1>
            <xm:f>'C:\Users\PC\Desktop\Unificación matriz de activos y riesgo\1. Activos de información por Área-Proceso 2024\03. Oficina Asesora de Planeación\[Matriz de riesgos de seguridad Oficina Asesora de Planeación 2024.xlsx]Listados'!#REF!</xm:f>
          </x14:formula1>
          <xm:sqref>M12 B12 K12 O12 AH12 Z12 AB12 AD12 AF12 W12:X12 AJ12</xm:sqref>
        </x14:dataValidation>
        <x14:dataValidation type="list" allowBlank="1" showInputMessage="1" showErrorMessage="1" xr:uid="{00000000-0002-0000-0200-000035000000}">
          <x14:formula1>
            <xm:f>'C:\Users\PC\Desktop\Unificación matriz de activos y riesgo\1. Activos de información por Área-Proceso 2024\04. Grupo de Gestión Administrativa\[Matriz de riesgos de seguridad Grupo de Gestión Administrativa 2024.xlsx]Seguridad Información'!#REF!</xm:f>
          </x14:formula1>
          <xm:sqref>I13 L13 S13 E13:G13 AN13 AP13 AR13 AT13</xm:sqref>
        </x14:dataValidation>
        <x14:dataValidation type="list" allowBlank="1" showInputMessage="1" showErrorMessage="1" xr:uid="{00000000-0002-0000-0200-000036000000}">
          <x14:formula1>
            <xm:f>'C:\Users\PC\Desktop\Unificación matriz de activos y riesgo\1. Activos de información por Área-Proceso 2024\04. Grupo de Gestión Administrativa\[Matriz de riesgos de seguridad Grupo de Gestión Administrativa 2024.xlsx]Listados'!#REF!</xm:f>
          </x14:formula1>
          <xm:sqref>M13 B13 K13 O13 AH13 Z13 AB13 AD13 AF13 W13:X13 AJ13</xm:sqref>
        </x14:dataValidation>
        <x14:dataValidation type="list" allowBlank="1" showInputMessage="1" showErrorMessage="1" xr:uid="{00000000-0002-0000-0200-000037000000}">
          <x14:formula1>
            <xm:f>'C:\Users\PC\Desktop\Unificación matriz de activos y riesgo\1. Activos de información por Área-Proceso 2024\05. Grupo de control Interno\[Matriz de riesgos de seguridad Oficina de Control Interno.xlsx]Listados'!#REF!</xm:f>
          </x14:formula1>
          <xm:sqref>K14:K21 AJ14:AJ21 B14:B16 B18:B20 O14:O21 AH14:AH21 AF14:AF21 AD14:AD21 AB14:AB21 Z14:Z21 W14:X21</xm:sqref>
        </x14:dataValidation>
        <x14:dataValidation type="list" allowBlank="1" showInputMessage="1" showErrorMessage="1" xr:uid="{00000000-0002-0000-0200-000038000000}">
          <x14:formula1>
            <xm:f>'C:\Users\PC\Desktop\Unificación matriz de activos y riesgo\1. Activos de información por Área-Proceso 2024\05. Grupo de control Interno\[Matriz de riesgos de seguridad Oficina de Control Interno.xlsx]Seguridad Información'!#REF!</xm:f>
          </x14:formula1>
          <xm:sqref>I14:I21 E14:G21 AT14:AT21 L14:L21 S14:S21 AN14:AN21 AP14:AP21 AR14:AR21</xm:sqref>
        </x14:dataValidation>
        <x14:dataValidation type="list" allowBlank="1" showInputMessage="1" showErrorMessage="1" xr:uid="{00000000-0002-0000-0200-00003B000000}">
          <x14:formula1>
            <xm:f>'C:\Users\PC\Desktop\Unificación matriz de activos y riesgo\1. Activos de información por Área-Proceso 2024\05. Grupo de control Interno\[Matriz de riesgos de seguridad Oficina de Control Interno.xlsx]Corrupción'!#REF!</xm:f>
          </x14:formula1>
          <xm:sqref>M14:M21</xm:sqref>
        </x14:dataValidation>
        <x14:dataValidation type="list" allowBlank="1" showInputMessage="1" showErrorMessage="1" xr:uid="{00000000-0002-0000-0200-00003C000000}">
          <x14:formula1>
            <xm:f>'C:\Users\PC\Desktop\Unificación matriz de activos y riesgo\[2024-11-07. Seguimiento matriz de riesgos DMASC.xlsx]Listados'!#REF!</xm:f>
          </x14:formula1>
          <xm:sqref>K22:K25 AJ22:AJ25 B22:B24 O22:O25 AH22:AH25 AF22:AF25 AD22:AD25 AB22:AB25 Z22:Z25 W22:X25</xm:sqref>
        </x14:dataValidation>
        <x14:dataValidation type="list" allowBlank="1" showInputMessage="1" showErrorMessage="1" xr:uid="{00000000-0002-0000-0200-00003D000000}">
          <x14:formula1>
            <xm:f>'C:\Users\PC\Desktop\Unificación matriz de activos y riesgo\[2024-11-07. Seguimiento matriz de riesgos DMASC.xlsx]Seguridad Información'!#REF!</xm:f>
          </x14:formula1>
          <xm:sqref>I22:I25 E22:G25 AT22:AT25 L22:L25 S22:S25 AN22:AN25 AP22:AP25 AR22:AR25</xm:sqref>
        </x14:dataValidation>
        <x14:dataValidation type="list" allowBlank="1" showInputMessage="1" showErrorMessage="1" xr:uid="{00000000-0002-0000-0200-000040000000}">
          <x14:formula1>
            <xm:f>'C:\Users\PC\Desktop\Unificación matriz de activos y riesgo\[2024-11-07. Seguimiento matriz de riesgos DMASC.xlsx]Corrupción'!#REF!</xm:f>
          </x14:formula1>
          <xm:sqref>M22:M25</xm:sqref>
        </x14:dataValidation>
        <x14:dataValidation type="list" allowBlank="1" showInputMessage="1" showErrorMessage="1" xr:uid="{00000000-0002-0000-0200-000041000000}">
          <x14:formula1>
            <xm:f>'C:\Users\PC\Desktop\Unificación matriz de activos y riesgo\1. Activos de información por Área-Proceso 2024\07. Dirección de Justicia Formal\[Matriz de riesgos de seguridad Dirección de Justicia Formal.xlsx]Listados'!#REF!</xm:f>
          </x14:formula1>
          <xm:sqref>K26:K29 AJ26:AJ29 AH26:AH29 AF26:AF29 AD26:AD29 W26:X29 AB26:AB29 Z26:Z29 B26:B28 O26:O29</xm:sqref>
        </x14:dataValidation>
        <x14:dataValidation type="list" allowBlank="1" showInputMessage="1" showErrorMessage="1" xr:uid="{00000000-0002-0000-0200-000042000000}">
          <x14:formula1>
            <xm:f>'C:\Users\PC\Desktop\Unificación matriz de activos y riesgo\1. Activos de información por Área-Proceso 2024\07. Dirección de Justicia Formal\[Matriz de riesgos de seguridad Dirección de Justicia Formal.xlsx]Seguridad Información'!#REF!</xm:f>
          </x14:formula1>
          <xm:sqref>I26:I29 S26:S29 AN26:AN29 AP26:AP29 AR26:AR29 AT26:AT29 E26:G29 L26:L29</xm:sqref>
        </x14:dataValidation>
        <x14:dataValidation type="list" allowBlank="1" showInputMessage="1" showErrorMessage="1" xr:uid="{00000000-0002-0000-0200-000043000000}">
          <x14:formula1>
            <xm:f>'C:\Users\PC\Desktop\Unificación matriz de activos y riesgo\1. Activos de información por Área-Proceso 2024\07. Dirección de Justicia Formal\[Matriz de riesgos de seguridad Dirección de Justicia Formal.xlsx]Corrupción'!#REF!</xm:f>
          </x14:formula1>
          <xm:sqref>M26:M29</xm:sqref>
        </x14:dataValidation>
        <x14:dataValidation type="list" allowBlank="1" showInputMessage="1" showErrorMessage="1" xr:uid="{00000000-0002-0000-0200-000046000000}">
          <x14:formula1>
            <xm:f>'C:\Users\PC\Desktop\Unificación matriz de activos y riesgo\[Matriz de riesgos de seguridad DDOJ 2024.xlsx]Listados'!#REF!</xm:f>
          </x14:formula1>
          <xm:sqref>K30:K31 B30:B31 O30:O31 AH30:AH31 AF30:AF31 AD30:AD31 AB30:AB31 Z30:Z31 W30:X31 AJ30:AJ31</xm:sqref>
        </x14:dataValidation>
        <x14:dataValidation type="list" allowBlank="1" showInputMessage="1" showErrorMessage="1" xr:uid="{00000000-0002-0000-0200-000047000000}">
          <x14:formula1>
            <xm:f>'C:\Users\PC\Desktop\Unificación matriz de activos y riesgo\[Matriz de riesgos de seguridad DDOJ 2024.xlsx]Seguridad Información'!#REF!</xm:f>
          </x14:formula1>
          <xm:sqref>I30:I31 L30:L31 S30:S31 AN30:AN31 AP30:AP31 AR30:AR31 AT30:AT31 E30:G31</xm:sqref>
        </x14:dataValidation>
        <x14:dataValidation type="list" allowBlank="1" showInputMessage="1" showErrorMessage="1" xr:uid="{00000000-0002-0000-0200-000048000000}">
          <x14:formula1>
            <xm:f>'C:\Users\PC\Desktop\Unificación matriz de activos y riesgo\[Matriz de riesgos de seguridad DDOJ 2024.xlsx]Corrupción'!#REF!</xm:f>
          </x14:formula1>
          <xm:sqref>M30:M31</xm:sqref>
        </x14:dataValidation>
        <x14:dataValidation type="list" allowBlank="1" showInputMessage="1" showErrorMessage="1" xr:uid="{00000000-0002-0000-0200-000049000000}">
          <x14:formula1>
            <xm:f>'C:\Users\PC\Desktop\Unificación matriz de activos y riesgo\[Matriz de riesgos de seguridad Dirección de Politica Criminal.xlsx]Listados'!#REF!</xm:f>
          </x14:formula1>
          <xm:sqref>K32:K33 B32:B33 O32:O33 AH32:AH33 AF32:AF33 AD32:AD33 AB32:AB33 Z32:Z33 W32:X33 AJ32:AJ33</xm:sqref>
        </x14:dataValidation>
        <x14:dataValidation type="list" allowBlank="1" showInputMessage="1" showErrorMessage="1" xr:uid="{00000000-0002-0000-0200-00004A000000}">
          <x14:formula1>
            <xm:f>'C:\Users\PC\Desktop\Unificación matriz de activos y riesgo\[Matriz de riesgos de seguridad Dirección de Politica Criminal.xlsx]Seguridad Información'!#REF!</xm:f>
          </x14:formula1>
          <xm:sqref>I32:I33 L32:L33 S32:S33 AN32:AN33 AP32:AP33 AR32:AR33 AT32:AT33 E32:G33</xm:sqref>
        </x14:dataValidation>
        <x14:dataValidation type="list" allowBlank="1" showInputMessage="1" showErrorMessage="1" xr:uid="{00000000-0002-0000-0200-00004B000000}">
          <x14:formula1>
            <xm:f>'C:\Users\PC\Desktop\Unificación matriz de activos y riesgo\[Matriz de riesgos de seguridad Dirección de Politica Criminal.xlsx]Corrupción'!#REF!</xm:f>
          </x14:formula1>
          <xm:sqref>M32:M33</xm:sqref>
        </x14:dataValidation>
        <x14:dataValidation type="list" allowBlank="1" showInputMessage="1" showErrorMessage="1" xr:uid="{00000000-0002-0000-0200-00004C000000}">
          <x14:formula1>
            <xm:f>'C:\Users\PC\Desktop\Unificación matriz de activos y riesgo\1. Activos de información por Área-Proceso 2024\10. Grupo de Gestión Contractual\[Matriz de riesgos de seguridad Grupo Gestión Contractual.xlsx]Listados'!#REF!</xm:f>
          </x14:formula1>
          <xm:sqref>K34:K35 B34:B35 O34:O35 AH34:AH35 AF34:AF35 AD34:AD35 AB34:AB35 Z34:Z35 W34:X35 AJ34:AJ35</xm:sqref>
        </x14:dataValidation>
        <x14:dataValidation type="list" allowBlank="1" showInputMessage="1" showErrorMessage="1" xr:uid="{00000000-0002-0000-0200-00004D000000}">
          <x14:formula1>
            <xm:f>'C:\Users\PC\Desktop\Unificación matriz de activos y riesgo\1. Activos de información por Área-Proceso 2024\10. Grupo de Gestión Contractual\[Matriz de riesgos de seguridad Grupo Gestión Contractual.xlsx]Seguridad Información'!#REF!</xm:f>
          </x14:formula1>
          <xm:sqref>I34:I35 L34:L35 S34:S35 AN34:AN35 AP34:AP35 AR34:AR35 AT34:AT35 E34:G35</xm:sqref>
        </x14:dataValidation>
        <x14:dataValidation type="list" allowBlank="1" showInputMessage="1" showErrorMessage="1" xr:uid="{00000000-0002-0000-0200-00004E000000}">
          <x14:formula1>
            <xm:f>'C:\Users\PC\Desktop\Unificación matriz de activos y riesgo\1. Activos de información por Área-Proceso 2024\10. Grupo de Gestión Contractual\[Matriz de riesgos de seguridad Grupo Gestión Contractual.xlsx]Corrupción'!#REF!</xm:f>
          </x14:formula1>
          <xm:sqref>M34:M35</xm:sqref>
        </x14:dataValidation>
        <x14:dataValidation type="list" allowBlank="1" showInputMessage="1" showErrorMessage="1" xr:uid="{00000000-0002-0000-0200-00004F000000}">
          <x14:formula1>
            <xm:f>'C:\Users\PC\Desktop\Unificación matriz de activos y riesgo\1. Activos de información por Área-Proceso 2024\11. Secretaría General - Pendiente\[Matriz de riesgos de seguridad Secretaría General.xlsx]Listados'!#REF!</xm:f>
          </x14:formula1>
          <xm:sqref>K36:K37 B36:B37 O36:O37 AH36:AH37 AF36:AF37 AD36:AD37 AB36:AB37 Z36:Z37 W36:X37 AJ36:AJ37</xm:sqref>
        </x14:dataValidation>
        <x14:dataValidation type="list" allowBlank="1" showInputMessage="1" showErrorMessage="1" xr:uid="{00000000-0002-0000-0200-000050000000}">
          <x14:formula1>
            <xm:f>'C:\Users\PC\Desktop\Unificación matriz de activos y riesgo\1. Activos de información por Área-Proceso 2024\11. Secretaría General - Pendiente\[Matriz de riesgos de seguridad Secretaría General.xlsx]Seguridad Información'!#REF!</xm:f>
          </x14:formula1>
          <xm:sqref>I36:I37 L36:L37 S36:S37 AN36:AN37 AP36:AP37 AR36:AR37 AT36:AT37 E36:G37</xm:sqref>
        </x14:dataValidation>
        <x14:dataValidation type="list" allowBlank="1" showInputMessage="1" showErrorMessage="1" xr:uid="{00000000-0002-0000-0200-000051000000}">
          <x14:formula1>
            <xm:f>'C:\Users\PC\Desktop\Unificación matriz de activos y riesgo\1. Activos de información por Área-Proceso 2024\11. Secretaría General - Pendiente\[Matriz de riesgos de seguridad Secretaría General.xlsx]Corrupción'!#REF!</xm:f>
          </x14:formula1>
          <xm:sqref>M36:M37</xm:sqref>
        </x14:dataValidation>
        <x14:dataValidation type="list" allowBlank="1" showInputMessage="1" showErrorMessage="1" xr:uid="{00000000-0002-0000-0200-000052000000}">
          <x14:formula1>
            <xm:f>'C:\Users\PC\Desktop\Unificación matriz de activos y riesgo\1. Activos de información por Área-Proceso 2024\12. Dirección de Justicia Transicional\[Matriz de riesgos de seguridad Dirección de Justicia Transicional.xlsx]Listados'!#REF!</xm:f>
          </x14:formula1>
          <xm:sqref>K38:K40 B38:B40 O38:O40 AH38:AH40 AF38:AF40 AD38:AD40 AB38:AB40 Z38:Z40 W38:X40 AJ38:AJ40</xm:sqref>
        </x14:dataValidation>
        <x14:dataValidation type="list" allowBlank="1" showInputMessage="1" showErrorMessage="1" xr:uid="{00000000-0002-0000-0200-000053000000}">
          <x14:formula1>
            <xm:f>'C:\Users\PC\Desktop\Unificación matriz de activos y riesgo\1. Activos de información por Área-Proceso 2024\12. Dirección de Justicia Transicional\[Matriz de riesgos de seguridad Dirección de Justicia Transicional.xlsx]Seguridad Información'!#REF!</xm:f>
          </x14:formula1>
          <xm:sqref>I38:I40 L38:L40 S38:S40 AN38:AN40 AP38:AP40 AR38:AR40 AT38:AT40 E38:G40</xm:sqref>
        </x14:dataValidation>
        <x14:dataValidation type="list" allowBlank="1" showInputMessage="1" showErrorMessage="1" xr:uid="{00000000-0002-0000-0200-000054000000}">
          <x14:formula1>
            <xm:f>'C:\Users\PC\Desktop\Unificación matriz de activos y riesgo\1. Activos de información por Área-Proceso 2024\12. Dirección de Justicia Transicional\[Matriz de riesgos de seguridad Dirección de Justicia Transicional.xlsx]Corrupción'!#REF!</xm:f>
          </x14:formula1>
          <xm:sqref>M38:M40</xm:sqref>
        </x14:dataValidation>
        <x14:dataValidation type="list" allowBlank="1" showInputMessage="1" showErrorMessage="1" xr:uid="{00000000-0002-0000-0200-000055000000}">
          <x14:formula1>
            <xm:f>'C:\Users\PC\Desktop\Unificación matriz de activos y riesgo\1. Activos de información por Área-Proceso 2024\13. Grupo de Gestión documental\[202411-Matriz de riesgos de seguridad Grupo de Gestión Documental.xlsx]Listados'!#REF!</xm:f>
          </x14:formula1>
          <xm:sqref>K41:K44 B41:B43 O41:O44 Z41:Z44 AB41:AB44 AD41:AD44 AF41:AF44 AH41:AH44 W41:X44 AJ41:AJ44</xm:sqref>
        </x14:dataValidation>
        <x14:dataValidation type="list" allowBlank="1" showInputMessage="1" showErrorMessage="1" xr:uid="{00000000-0002-0000-0200-000056000000}">
          <x14:formula1>
            <xm:f>'C:\Users\PC\Desktop\Unificación matriz de activos y riesgo\1. Activos de información por Área-Proceso 2024\13. Grupo de Gestión documental\[202411-Matriz de riesgos de seguridad Grupo de Gestión Documental.xlsx]Seguridad Información'!#REF!</xm:f>
          </x14:formula1>
          <xm:sqref>I41:I44 L41:L44 S41:S44 AN41:AN44 AP41:AP44 AR41:AR44 AT41:AT44 E41:G44</xm:sqref>
        </x14:dataValidation>
        <x14:dataValidation type="list" allowBlank="1" showInputMessage="1" showErrorMessage="1" xr:uid="{00000000-0002-0000-0200-000057000000}">
          <x14:formula1>
            <xm:f>'C:\Users\PC\Desktop\Unificación matriz de activos y riesgo\1. Activos de información por Área-Proceso 2024\13. Grupo de Gestión documental\[202411-Matriz de riesgos de seguridad Grupo de Gestión Documental.xlsx]Corrupción'!#REF!</xm:f>
          </x14:formula1>
          <xm:sqref>M41:M44</xm:sqref>
        </x14:dataValidation>
        <x14:dataValidation type="list" allowBlank="1" showInputMessage="1" showErrorMessage="1" xr:uid="{00000000-0002-0000-0200-000058000000}">
          <x14:formula1>
            <xm:f>'C:\Users\PC\Desktop\Unificación matriz de activos y riesgo\1. Activos de información por Área-Proceso 2024\14. Grupo de Gestión Humana\[Matriz de riesgos de seguridad Grupo de Gestión Humana.xlsx]Listados'!#REF!</xm:f>
          </x14:formula1>
          <xm:sqref>K45:K46 B45:B46 O45:O46 AH45:AH46 AF45:AF46 AD45:AD46 AB45:AB46 Z45:Z46 W45:X46 AJ45:AJ46</xm:sqref>
        </x14:dataValidation>
        <x14:dataValidation type="list" allowBlank="1" showInputMessage="1" showErrorMessage="1" xr:uid="{00000000-0002-0000-0200-000059000000}">
          <x14:formula1>
            <xm:f>'C:\Users\PC\Desktop\Unificación matriz de activos y riesgo\1. Activos de información por Área-Proceso 2024\14. Grupo de Gestión Humana\[Matriz de riesgos de seguridad Grupo de Gestión Humana.xlsx]Seguridad Información'!#REF!</xm:f>
          </x14:formula1>
          <xm:sqref>I45:I46 L45:L46 S45:S46 AN45:AN46 AP45:AP46 AR45:AR46 AT45:AT46 E45:G46</xm:sqref>
        </x14:dataValidation>
        <x14:dataValidation type="list" allowBlank="1" showInputMessage="1" showErrorMessage="1" xr:uid="{00000000-0002-0000-0200-00005A000000}">
          <x14:formula1>
            <xm:f>'C:\Users\PC\Desktop\Unificación matriz de activos y riesgo\1. Activos de información por Área-Proceso 2024\14. Grupo de Gestión Humana\[Matriz de riesgos de seguridad Grupo de Gestión Humana.xlsx]Corrupción'!#REF!</xm:f>
          </x14:formula1>
          <xm:sqref>M45:M46</xm:sqref>
        </x14:dataValidation>
        <x14:dataValidation type="list" allowBlank="1" showInputMessage="1" showErrorMessage="1" xr:uid="{00000000-0002-0000-0200-00005B000000}">
          <x14:formula1>
            <xm:f>'C:\Users\PC\Desktop\Unificación matriz de activos y riesgo\1. Activos de información por Área-Proceso 2024\15. Dirección Jurídica\[Matriz de riesgos de seguridad Dirección Juridica.xlsx]Listados'!#REF!</xm:f>
          </x14:formula1>
          <xm:sqref>K47:K50 B47:B49 O47:O50 AH47:AH50 AF47:AF50 AD47:AD50 AB47:AB50 Z47:Z50 W47:X50 AJ47:AJ50</xm:sqref>
        </x14:dataValidation>
        <x14:dataValidation type="list" allowBlank="1" showInputMessage="1" showErrorMessage="1" xr:uid="{00000000-0002-0000-0200-00005C000000}">
          <x14:formula1>
            <xm:f>'C:\Users\PC\Desktop\Unificación matriz de activos y riesgo\1. Activos de información por Área-Proceso 2024\15. Dirección Jurídica\[Matriz de riesgos de seguridad Dirección Juridica.xlsx]Seguridad Información'!#REF!</xm:f>
          </x14:formula1>
          <xm:sqref>I47:I50 L47:L50 S47:S50 AN47:AN50 AP47:AP50 AR47:AR50 AT47:AT50 E47:G50</xm:sqref>
        </x14:dataValidation>
        <x14:dataValidation type="list" allowBlank="1" showInputMessage="1" showErrorMessage="1" xr:uid="{00000000-0002-0000-0200-00005D000000}">
          <x14:formula1>
            <xm:f>'C:\Users\PC\Desktop\Unificación matriz de activos y riesgo\1. Activos de información por Área-Proceso 2024\15. Dirección Jurídica\[Matriz de riesgos de seguridad Dirección Juridica.xlsx]Corrupción'!#REF!</xm:f>
          </x14:formula1>
          <xm:sqref>M47:M50</xm:sqref>
        </x14:dataValidation>
        <x14:dataValidation type="list" allowBlank="1" showInputMessage="1" showErrorMessage="1" xr:uid="{00000000-0002-0000-0200-00005E000000}">
          <x14:formula1>
            <xm:f>'C:\Users\PC\Desktop\Unificación matriz de activos y riesgo\1. Activos de información por Área-Proceso 2024\16. Grupo de Gestión Financiera y Contable\[Seguim. Matriz_Riesgos_Seg. de la Información_GGFC_14.11.2024.xlsx]Listados'!#REF!</xm:f>
          </x14:formula1>
          <xm:sqref>K51:K54 B51:B53 O51:O54 AH51:AH54 AF51:AF54 AD51:AD54 AB51:AB54 Z51:Z54 W51:X54 AJ51:AJ54</xm:sqref>
        </x14:dataValidation>
        <x14:dataValidation type="list" allowBlank="1" showInputMessage="1" showErrorMessage="1" xr:uid="{00000000-0002-0000-0200-00005F000000}">
          <x14:formula1>
            <xm:f>'C:\Users\PC\Desktop\Unificación matriz de activos y riesgo\1. Activos de información por Área-Proceso 2024\16. Grupo de Gestión Financiera y Contable\[Seguim. Matriz_Riesgos_Seg. de la Información_GGFC_14.11.2024.xlsx]Seguridad Información'!#REF!</xm:f>
          </x14:formula1>
          <xm:sqref>I51:I54 L51:L54 S51:S54 AN51:AN54 AP51:AP54 AR51:AR54 AT51:AT54 E51:G54</xm:sqref>
        </x14:dataValidation>
        <x14:dataValidation type="list" allowBlank="1" showInputMessage="1" showErrorMessage="1" xr:uid="{00000000-0002-0000-0200-000060000000}">
          <x14:formula1>
            <xm:f>'C:\Users\PC\Desktop\Unificación matriz de activos y riesgo\1. Activos de información por Área-Proceso 2024\16. Grupo de Gestión Financiera y Contable\[Seguim. Matriz_Riesgos_Seg. de la Información_GGFC_14.11.2024.xlsx]Corrupción'!#REF!</xm:f>
          </x14:formula1>
          <xm:sqref>M51:M54</xm:sqref>
        </x14:dataValidation>
        <x14:dataValidation type="list" allowBlank="1" showInputMessage="1" showErrorMessage="1" xr:uid="{00000000-0002-0000-0200-000061000000}">
          <x14:formula1>
            <xm:f>'C:\Users\PC\Desktop\Unificación matriz de activos y riesgo\[Matriz de riesgos de seguridad Control Disciplinario Interno 2024.xlsx]Listados'!#REF!</xm:f>
          </x14:formula1>
          <xm:sqref>K55:K58 B55:B57 O55:O58 AH55:AH58 AF55:AF58 AD55:AD58 AB55:AB58 Z55:Z58 W55:X58 AJ55:AJ58</xm:sqref>
        </x14:dataValidation>
        <x14:dataValidation type="list" allowBlank="1" showInputMessage="1" showErrorMessage="1" xr:uid="{00000000-0002-0000-0200-000062000000}">
          <x14:formula1>
            <xm:f>'C:\Users\PC\Desktop\Unificación matriz de activos y riesgo\[Matriz de riesgos de seguridad Control Disciplinario Interno 2024.xlsx]Seguridad Información'!#REF!</xm:f>
          </x14:formula1>
          <xm:sqref>I55:I58 L55:L58 S55:S58 AN55:AN58 AP55:AP58 AR55:AR58 AT55:AT58 E55:G58</xm:sqref>
        </x14:dataValidation>
        <x14:dataValidation type="list" allowBlank="1" showInputMessage="1" showErrorMessage="1" xr:uid="{00000000-0002-0000-0200-00006D000000}">
          <x14:formula1>
            <xm:f>'C:\Users\PC\Desktop\Unificación matriz de activos y riesgo\[Matriz de riesgos de seguridad Control Disciplinario Interno 2024.xlsx]Corrupción'!#REF!</xm:f>
          </x14:formula1>
          <xm:sqref>M55:M58</xm:sqref>
        </x14:dataValidation>
        <x14:dataValidation type="list" allowBlank="1" showInputMessage="1" showErrorMessage="1" xr:uid="{00000000-0002-0000-0200-000072000000}">
          <x14:formula1>
            <xm:f>'C:\Users\PC\Desktop\Unificación matriz de activos y riesgo\[Matriz de riesgos de seguridad Grupo de almacén, inventarios y transporte.xlsx]Listados'!#REF!</xm:f>
          </x14:formula1>
          <xm:sqref>K59:K60 B59:B60 O59:O60 AB59:AB60 AD59:AD60 AF59:AF60 AH59:AH60 Z59:Z60 W59:X60 AJ59:AJ60</xm:sqref>
        </x14:dataValidation>
        <x14:dataValidation type="list" allowBlank="1" showInputMessage="1" showErrorMessage="1" xr:uid="{00000000-0002-0000-0200-000073000000}">
          <x14:formula1>
            <xm:f>'C:\Users\PC\Desktop\Unificación matriz de activos y riesgo\[Matriz de riesgos de seguridad Grupo de almacén, inventarios y transporte.xlsx]Seguridad Información'!#REF!</xm:f>
          </x14:formula1>
          <xm:sqref>I59:I60 L59:L60 S59:S60 AN59:AN60 AP59:AP60 AR59:AR60 AT59:AT60 E59:G60</xm:sqref>
        </x14:dataValidation>
        <x14:dataValidation type="list" allowBlank="1" showInputMessage="1" showErrorMessage="1" xr:uid="{00000000-0002-0000-0200-00007E000000}">
          <x14:formula1>
            <xm:f>'C:\Users\PC\Desktop\Unificación matriz de activos y riesgo\[Matriz de riesgos de seguridad Grupo de almacén, inventarios y transporte.xlsx]Corrupción'!#REF!</xm:f>
          </x14:formula1>
          <xm:sqref>M59:M60</xm:sqref>
        </x14:dataValidation>
        <x14:dataValidation type="list" allowBlank="1" showInputMessage="1" showErrorMessage="1" xr:uid="{00000000-0002-0000-0200-000083000000}">
          <x14:formula1>
            <xm:f>'C:\Users\PC\Desktop\Unificación matriz de activos y riesgo\1. Activos de información por Área-Proceso 2024\21. Subdirección de Gestión de Información en Justicia\[Matriz de riesgos de seguridad SGIJ.xlsx]Listados'!#REF!</xm:f>
          </x14:formula1>
          <xm:sqref>K61:K64 B61:B63 O61:O64 AH61:AH64 AF61:AF64 AD61:AD64 AB61:AB64 Z61:Z64 W61:X64 AJ61:AJ64</xm:sqref>
        </x14:dataValidation>
        <x14:dataValidation type="list" allowBlank="1" showInputMessage="1" showErrorMessage="1" xr:uid="{00000000-0002-0000-0200-000084000000}">
          <x14:formula1>
            <xm:f>'C:\Users\PC\Desktop\Unificación matriz de activos y riesgo\1. Activos de información por Área-Proceso 2024\21. Subdirección de Gestión de Información en Justicia\[Matriz de riesgos de seguridad SGIJ.xlsx]Seguridad Información'!#REF!</xm:f>
          </x14:formula1>
          <xm:sqref>I61:I64 L61:L64 S61:S64 AN61:AN64 AP61:AP64 AR61:AR64 AT61:AT64 E61:G64</xm:sqref>
        </x14:dataValidation>
        <x14:dataValidation type="list" allowBlank="1" showInputMessage="1" showErrorMessage="1" xr:uid="{00000000-0002-0000-0200-00008F000000}">
          <x14:formula1>
            <xm:f>'C:\Users\PC\Desktop\Unificación matriz de activos y riesgo\1. Activos de información por Área-Proceso 2024\21. Subdirección de Gestión de Información en Justicia\[Matriz de riesgos de seguridad SGIJ.xlsx]Corrupción'!#REF!</xm:f>
          </x14:formula1>
          <xm:sqref>M61:M64</xm:sqref>
        </x14:dataValidation>
        <x14:dataValidation type="list" allowBlank="1" showInputMessage="1" showErrorMessage="1" xr:uid="{00000000-0002-0000-0200-000094000000}">
          <x14:formula1>
            <xm:f>'C:\Users\PC\Desktop\Unificación matriz de activos y riesgo\[Matriz de riesgos de seguridad DTGIJ.xlsx]Listados'!#REF!</xm:f>
          </x14:formula1>
          <xm:sqref>K65:K66 B65:B66 O65:O66 AH65:AH66 AF65:AF66 AD65:AD66 AB65:AB66 Z65:Z66 W65:X66 AJ65:AJ66</xm:sqref>
        </x14:dataValidation>
        <x14:dataValidation type="list" allowBlank="1" showInputMessage="1" showErrorMessage="1" xr:uid="{00000000-0002-0000-0200-000095000000}">
          <x14:formula1>
            <xm:f>'C:\Users\PC\Desktop\Unificación matriz de activos y riesgo\[Matriz de riesgos de seguridad DTGIJ.xlsx]Seguridad Información'!#REF!</xm:f>
          </x14:formula1>
          <xm:sqref>I65:I66 L65:L66 S65:S66 AN65:AN66 AP65:AP66 AR65:AR66 AT65:AT66 E65:G66</xm:sqref>
        </x14:dataValidation>
        <x14:dataValidation type="list" allowBlank="1" showInputMessage="1" showErrorMessage="1" xr:uid="{00000000-0002-0000-0200-0000A0000000}">
          <x14:formula1>
            <xm:f>'C:\Users\PC\Desktop\Unificación matriz de activos y riesgo\[Matriz de riesgos de seguridad DTGIJ.xlsx]Corrupción'!#REF!</xm:f>
          </x14:formula1>
          <xm:sqref>M65:M66</xm:sqref>
        </x14:dataValidation>
        <x14:dataValidation type="list" allowBlank="1" showInputMessage="1" showErrorMessage="1" xr:uid="{00000000-0002-0000-0200-0000A5000000}">
          <x14:formula1>
            <xm:f>'C:\Users\PC\Desktop\Unificación matriz de activos y riesgo\[Matriz de riesgos de seguridad STSI.xlsx]Seguridad Información'!#REF!</xm:f>
          </x14:formula1>
          <xm:sqref>I67:I83 L67:L83 S67:S83 AN67:AN83 AP67:AP83 AR67:AR83 AT67:AT83 E67:G83</xm:sqref>
        </x14:dataValidation>
        <x14:dataValidation type="list" allowBlank="1" showInputMessage="1" showErrorMessage="1" xr:uid="{00000000-0002-0000-0200-0000A9000000}">
          <x14:formula1>
            <xm:f>'C:\Users\PC\Desktop\Unificación matriz de activos y riesgo\[Matriz de riesgos de seguridad STSI.xlsx]Listados'!#REF!</xm:f>
          </x14:formula1>
          <xm:sqref>K67:K83 B71 B73 B76 B79 B82 B67:B69 M67:M83 O67:O83 Z67:Z83 AB67:AB83 AD67:AD83 AF67:AF83 AH67:AH83 W67:X83 AJ67:AJ83</xm:sqref>
        </x14:dataValidation>
        <x14:dataValidation type="list" allowBlank="1" showInputMessage="1" showErrorMessage="1" xr:uid="{00000000-0002-0000-0200-0000B6000000}">
          <x14:formula1>
            <xm:f>'C:\Users\PC\Desktop\Unificación matriz de activos y riesgo\[Matriz de riesgos de seguridad DPDAR SEA y SCFSQE 2024 Version Final.xlsx]Listados'!#REF!</xm:f>
          </x14:formula1>
          <xm:sqref>K87:K90 B87 B89 X89 AF87:AF90 AD87:AD90 X87 AB87:AB90 AH87:AH90 Z87:Z90 O87:O90 W87:W90 AJ87:AJ90</xm:sqref>
        </x14:dataValidation>
        <x14:dataValidation type="list" allowBlank="1" showInputMessage="1" showErrorMessage="1" xr:uid="{00000000-0002-0000-0200-0000B7000000}">
          <x14:formula1>
            <xm:f>'C:\Users\PC\Desktop\Unificación matriz de activos y riesgo\[Matriz de riesgos de seguridad DPDAR SEA y SCFSQE 2024 Version Final.xlsx]Seguridad Información'!#REF!</xm:f>
          </x14:formula1>
          <xm:sqref>I87:I90 L87:L90 S87:S90 AN87:AN90 AP87:AP90 AR87:AR90 AT87:AT90 E87:G90</xm:sqref>
        </x14:dataValidation>
        <x14:dataValidation type="list" allowBlank="1" showInputMessage="1" showErrorMessage="1" xr:uid="{00000000-0002-0000-0200-0000C2000000}">
          <x14:formula1>
            <xm:f>'C:\Users\PC\Desktop\Unificación matriz de activos y riesgo\[Matriz de riesgos de seguridad DPDAR SEA y SCFSQE 2024 Version Final.xlsx]Corrupción'!#REF!</xm:f>
          </x14:formula1>
          <xm:sqref>M87:M90</xm:sqref>
        </x14:dataValidation>
        <x14:dataValidation type="list" allowBlank="1" showInputMessage="1" showErrorMessage="1" xr:uid="{00000000-0002-0000-0200-0000C7000000}">
          <x14:formula1>
            <xm:f>'C:\Users\PC\Desktop\Unificación matriz de activos y riesgo\1. Activos de información por Área-Proceso 2024\19. Grupo de Servicio al ciudadano\[Matriz de riesgos de seguridad Servicio al Ciudadano.xlsx]Listados'!#REF!</xm:f>
          </x14:formula1>
          <xm:sqref>K91:K95 B91:B94 O91:O95 AH91:AH95 AF91:AF95 AD91:AD95 AB91:AB95 Z91:Z95 W91:X95 AJ91:AJ95</xm:sqref>
        </x14:dataValidation>
        <x14:dataValidation type="list" allowBlank="1" showInputMessage="1" showErrorMessage="1" xr:uid="{00000000-0002-0000-0200-0000C8000000}">
          <x14:formula1>
            <xm:f>'C:\Users\PC\Desktop\Unificación matriz de activos y riesgo\1. Activos de información por Área-Proceso 2024\19. Grupo de Servicio al ciudadano\[Matriz de riesgos de seguridad Servicio al Ciudadano.xlsx]Seguridad Información'!#REF!</xm:f>
          </x14:formula1>
          <xm:sqref>I91:I95 L91:L95 S91:S95 AN91:AN95 AP91:AP95 AR91:AR95 AT91:AT95 E91:G95</xm:sqref>
        </x14:dataValidation>
        <x14:dataValidation type="list" allowBlank="1" showInputMessage="1" showErrorMessage="1" xr:uid="{00000000-0002-0000-0200-0000D3000000}">
          <x14:formula1>
            <xm:f>'C:\Users\PC\Desktop\Unificación matriz de activos y riesgo\1. Activos de información por Área-Proceso 2024\19. Grupo de Servicio al ciudadano\[Matriz de riesgos de seguridad Servicio al Ciudadano.xlsx]Corrupción'!#REF!</xm:f>
          </x14:formula1>
          <xm:sqref>M91:M95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1:AJ17"/>
  <sheetViews>
    <sheetView showGridLines="0" zoomScale="80" zoomScaleNormal="80" workbookViewId="0">
      <selection activeCell="AK6" sqref="AK6"/>
    </sheetView>
  </sheetViews>
  <sheetFormatPr defaultColWidth="9.28515625" defaultRowHeight="15"/>
  <cols>
    <col min="1" max="5" width="3.7109375" customWidth="1"/>
    <col min="6" max="6" width="1.28515625" customWidth="1"/>
    <col min="7" max="36" width="3.7109375" customWidth="1"/>
  </cols>
  <sheetData>
    <row r="1" spans="3:36" ht="18" customHeight="1"/>
    <row r="3" spans="3:36" ht="51" customHeight="1">
      <c r="C3" s="1"/>
      <c r="D3" s="1"/>
      <c r="E3" s="425" t="s">
        <v>598</v>
      </c>
      <c r="F3" s="1"/>
      <c r="G3" s="427" t="s">
        <v>599</v>
      </c>
      <c r="H3" s="427"/>
      <c r="I3" s="427"/>
      <c r="J3" s="427"/>
      <c r="K3" s="427"/>
      <c r="L3" s="427"/>
      <c r="M3" s="429"/>
      <c r="N3" s="429"/>
      <c r="O3" s="429"/>
      <c r="P3" s="429"/>
      <c r="Q3" s="429"/>
      <c r="R3" s="429"/>
      <c r="S3" s="429"/>
      <c r="T3" s="429"/>
      <c r="U3" s="428"/>
      <c r="V3" s="428"/>
      <c r="W3" s="428"/>
      <c r="X3" s="428"/>
      <c r="Y3" s="428"/>
      <c r="Z3" s="428"/>
      <c r="AA3" s="428"/>
      <c r="AB3" s="428"/>
      <c r="AC3" s="428"/>
      <c r="AD3" s="428"/>
      <c r="AE3" s="428"/>
      <c r="AF3" s="428"/>
      <c r="AG3" s="1"/>
      <c r="AH3" s="1"/>
      <c r="AI3" s="1"/>
      <c r="AJ3" s="2"/>
    </row>
    <row r="4" spans="3:36" ht="51" customHeight="1">
      <c r="C4" s="1"/>
      <c r="D4" s="1"/>
      <c r="E4" s="425"/>
      <c r="F4" s="1"/>
      <c r="G4" s="427" t="s">
        <v>600</v>
      </c>
      <c r="H4" s="427"/>
      <c r="I4" s="427"/>
      <c r="J4" s="427"/>
      <c r="K4" s="427"/>
      <c r="L4" s="427"/>
      <c r="M4" s="430"/>
      <c r="N4" s="430"/>
      <c r="O4" s="430"/>
      <c r="P4" s="430"/>
      <c r="Q4" s="429"/>
      <c r="R4" s="429"/>
      <c r="S4" s="429"/>
      <c r="T4" s="429"/>
      <c r="U4" s="429"/>
      <c r="V4" s="429"/>
      <c r="W4" s="429"/>
      <c r="X4" s="429"/>
      <c r="Y4" s="428">
        <v>1</v>
      </c>
      <c r="Z4" s="428"/>
      <c r="AA4" s="428"/>
      <c r="AB4" s="428"/>
      <c r="AC4" s="428"/>
      <c r="AD4" s="428"/>
      <c r="AE4" s="428"/>
      <c r="AF4" s="428"/>
      <c r="AG4" s="1"/>
      <c r="AH4" s="1"/>
      <c r="AI4" s="1"/>
      <c r="AJ4" s="2"/>
    </row>
    <row r="5" spans="3:36" ht="51" customHeight="1">
      <c r="C5" s="1"/>
      <c r="D5" s="1"/>
      <c r="E5" s="425"/>
      <c r="F5" s="1"/>
      <c r="G5" s="427" t="s">
        <v>601</v>
      </c>
      <c r="H5" s="427"/>
      <c r="I5" s="427"/>
      <c r="J5" s="427"/>
      <c r="K5" s="427"/>
      <c r="L5" s="427"/>
      <c r="M5" s="431">
        <v>1</v>
      </c>
      <c r="N5" s="431"/>
      <c r="O5" s="431"/>
      <c r="P5" s="431"/>
      <c r="Q5" s="430">
        <v>4</v>
      </c>
      <c r="R5" s="430"/>
      <c r="S5" s="430"/>
      <c r="T5" s="430"/>
      <c r="U5" s="429"/>
      <c r="V5" s="429"/>
      <c r="W5" s="429"/>
      <c r="X5" s="429"/>
      <c r="Y5" s="428">
        <v>2</v>
      </c>
      <c r="Z5" s="428"/>
      <c r="AA5" s="428"/>
      <c r="AB5" s="428"/>
      <c r="AC5" s="428"/>
      <c r="AD5" s="428"/>
      <c r="AE5" s="428"/>
      <c r="AF5" s="428"/>
      <c r="AG5" s="1"/>
      <c r="AH5" s="1"/>
      <c r="AI5" s="1"/>
      <c r="AJ5" s="3"/>
    </row>
    <row r="6" spans="3:36" ht="51" customHeight="1">
      <c r="C6" s="1"/>
      <c r="D6" s="1"/>
      <c r="E6" s="425"/>
      <c r="F6" s="1"/>
      <c r="G6" s="427" t="s">
        <v>602</v>
      </c>
      <c r="H6" s="427"/>
      <c r="I6" s="427"/>
      <c r="J6" s="427"/>
      <c r="K6" s="427"/>
      <c r="L6" s="427"/>
      <c r="M6" s="431">
        <v>1</v>
      </c>
      <c r="N6" s="431"/>
      <c r="O6" s="431"/>
      <c r="P6" s="431"/>
      <c r="Q6" s="431">
        <v>8</v>
      </c>
      <c r="R6" s="431"/>
      <c r="S6" s="431"/>
      <c r="T6" s="431"/>
      <c r="U6" s="430"/>
      <c r="V6" s="430"/>
      <c r="W6" s="430"/>
      <c r="X6" s="430"/>
      <c r="Y6" s="429">
        <v>2</v>
      </c>
      <c r="Z6" s="429"/>
      <c r="AA6" s="429"/>
      <c r="AB6" s="429"/>
      <c r="AC6" s="428"/>
      <c r="AD6" s="428"/>
      <c r="AE6" s="428"/>
      <c r="AF6" s="428"/>
      <c r="AG6" s="1"/>
      <c r="AH6" s="1"/>
      <c r="AI6" s="1"/>
      <c r="AJ6" s="3" t="s">
        <v>385</v>
      </c>
    </row>
    <row r="7" spans="3:36" ht="51" customHeight="1">
      <c r="C7" s="1"/>
      <c r="D7" s="1"/>
      <c r="E7" s="425"/>
      <c r="F7" s="1"/>
      <c r="G7" s="427" t="s">
        <v>603</v>
      </c>
      <c r="H7" s="427"/>
      <c r="I7" s="427"/>
      <c r="J7" s="427"/>
      <c r="K7" s="427"/>
      <c r="L7" s="427"/>
      <c r="M7" s="431">
        <v>2</v>
      </c>
      <c r="N7" s="431"/>
      <c r="O7" s="431"/>
      <c r="P7" s="431"/>
      <c r="Q7" s="431">
        <v>16</v>
      </c>
      <c r="R7" s="431"/>
      <c r="S7" s="431"/>
      <c r="T7" s="431"/>
      <c r="U7" s="430">
        <v>5</v>
      </c>
      <c r="V7" s="430"/>
      <c r="W7" s="430"/>
      <c r="X7" s="430"/>
      <c r="Y7" s="429">
        <v>2</v>
      </c>
      <c r="Z7" s="429"/>
      <c r="AA7" s="429"/>
      <c r="AB7" s="429"/>
      <c r="AC7" s="428"/>
      <c r="AD7" s="428"/>
      <c r="AE7" s="428"/>
      <c r="AF7" s="428"/>
      <c r="AG7" s="1"/>
      <c r="AH7" s="1"/>
      <c r="AI7" s="1"/>
      <c r="AJ7" s="2"/>
    </row>
    <row r="8" spans="3:36" ht="45" customHeight="1">
      <c r="C8" s="1"/>
      <c r="D8" s="1"/>
      <c r="E8" s="425"/>
      <c r="F8" s="1"/>
      <c r="G8" s="426"/>
      <c r="H8" s="426"/>
      <c r="I8" s="426"/>
      <c r="J8" s="426"/>
      <c r="K8" s="426"/>
      <c r="L8" s="426"/>
      <c r="M8" s="427" t="s">
        <v>604</v>
      </c>
      <c r="N8" s="427"/>
      <c r="O8" s="427"/>
      <c r="P8" s="427"/>
      <c r="Q8" s="427" t="s">
        <v>605</v>
      </c>
      <c r="R8" s="427"/>
      <c r="S8" s="427"/>
      <c r="T8" s="427"/>
      <c r="U8" s="427" t="s">
        <v>606</v>
      </c>
      <c r="V8" s="427"/>
      <c r="W8" s="427"/>
      <c r="X8" s="427"/>
      <c r="Y8" s="427" t="s">
        <v>607</v>
      </c>
      <c r="Z8" s="427"/>
      <c r="AA8" s="427"/>
      <c r="AB8" s="427"/>
      <c r="AC8" s="427" t="s">
        <v>608</v>
      </c>
      <c r="AD8" s="427"/>
      <c r="AE8" s="427"/>
      <c r="AF8" s="427"/>
      <c r="AG8" s="1"/>
      <c r="AH8" s="1"/>
      <c r="AI8" s="1"/>
      <c r="AJ8" s="3" t="s">
        <v>609</v>
      </c>
    </row>
    <row r="9" spans="3:36" ht="11.25" customHeight="1">
      <c r="C9" s="1"/>
      <c r="D9" s="1"/>
      <c r="E9" s="1"/>
      <c r="F9" s="1"/>
      <c r="G9" s="13"/>
      <c r="H9" s="13"/>
      <c r="I9" s="13"/>
      <c r="J9" s="13"/>
      <c r="K9" s="13"/>
      <c r="L9" s="13"/>
      <c r="M9" s="12"/>
      <c r="N9" s="12"/>
      <c r="O9" s="12"/>
      <c r="P9" s="12"/>
      <c r="Q9" s="12"/>
      <c r="R9" s="12"/>
      <c r="S9" s="12"/>
      <c r="T9" s="12"/>
      <c r="U9" s="12"/>
      <c r="V9" s="12"/>
      <c r="W9" s="12"/>
      <c r="X9" s="12"/>
      <c r="Y9" s="12"/>
      <c r="Z9" s="12"/>
      <c r="AA9" s="12"/>
      <c r="AB9" s="12"/>
      <c r="AC9" s="12"/>
      <c r="AD9" s="12"/>
      <c r="AE9" s="12"/>
      <c r="AF9" s="12"/>
      <c r="AG9" s="1"/>
      <c r="AH9" s="1"/>
      <c r="AI9" s="1"/>
      <c r="AJ9" s="3"/>
    </row>
    <row r="10" spans="3:36" ht="20.25" customHeight="1">
      <c r="C10" s="1"/>
      <c r="D10" s="1"/>
      <c r="E10" s="1"/>
      <c r="F10" s="1"/>
      <c r="G10" s="424" t="s">
        <v>425</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1"/>
      <c r="AH10" s="1"/>
      <c r="AI10" s="1"/>
      <c r="AJ10" s="2"/>
    </row>
    <row r="11" spans="3:36">
      <c r="C11" s="1"/>
      <c r="D11" s="1"/>
      <c r="E11" s="1"/>
      <c r="F11" s="1"/>
      <c r="G11" s="1"/>
      <c r="H11" s="1"/>
      <c r="I11" s="4"/>
      <c r="J11" s="5"/>
      <c r="K11" s="6"/>
      <c r="L11" s="7"/>
      <c r="M11" s="7"/>
      <c r="N11" s="6"/>
      <c r="O11" s="7"/>
      <c r="P11" s="7"/>
      <c r="Q11" s="6"/>
      <c r="R11" s="7"/>
      <c r="S11" s="7"/>
      <c r="T11" s="6"/>
      <c r="U11" s="7"/>
      <c r="V11" s="7"/>
      <c r="W11" s="7"/>
      <c r="X11" s="1"/>
      <c r="Y11" s="1"/>
      <c r="Z11" s="1"/>
      <c r="AA11" s="1"/>
      <c r="AB11" s="1"/>
      <c r="AC11" s="1"/>
      <c r="AD11" s="1"/>
      <c r="AE11" s="1"/>
      <c r="AF11" s="1"/>
      <c r="AG11" s="1"/>
      <c r="AH11" s="1"/>
      <c r="AI11" s="1"/>
      <c r="AJ11" s="1"/>
    </row>
    <row r="12" spans="3:36">
      <c r="C12" s="1"/>
      <c r="D12" s="1"/>
      <c r="E12" s="1"/>
      <c r="F12" s="1"/>
      <c r="G12" s="1"/>
      <c r="H12" s="1"/>
      <c r="I12" s="87"/>
      <c r="J12" s="1"/>
      <c r="K12" s="1"/>
      <c r="L12" s="1"/>
      <c r="M12" s="88" t="s">
        <v>610</v>
      </c>
      <c r="N12" s="89" t="s">
        <v>611</v>
      </c>
      <c r="O12" s="90"/>
      <c r="P12" s="8"/>
      <c r="Q12" s="91" t="s">
        <v>612</v>
      </c>
      <c r="R12" s="89" t="s">
        <v>613</v>
      </c>
      <c r="S12" s="90"/>
      <c r="T12" s="8"/>
      <c r="U12" s="92" t="s">
        <v>614</v>
      </c>
      <c r="V12" s="89" t="s">
        <v>615</v>
      </c>
      <c r="W12" s="93"/>
      <c r="X12" s="8"/>
      <c r="Y12" s="94" t="s">
        <v>616</v>
      </c>
      <c r="Z12" s="89" t="s">
        <v>617</v>
      </c>
      <c r="AA12" s="8"/>
      <c r="AB12" s="1"/>
      <c r="AC12" s="1"/>
      <c r="AD12" s="1"/>
      <c r="AE12" s="1"/>
      <c r="AF12" s="1"/>
      <c r="AG12" s="1"/>
      <c r="AH12" s="1"/>
      <c r="AI12" s="1"/>
      <c r="AJ12" s="1"/>
    </row>
    <row r="13" spans="3:36">
      <c r="C13" s="1"/>
      <c r="D13" s="1"/>
      <c r="E13" s="1"/>
      <c r="F13" s="1"/>
      <c r="G13" s="1"/>
      <c r="H13" s="1"/>
      <c r="I13" s="95"/>
      <c r="J13" s="6"/>
      <c r="K13" s="5"/>
      <c r="L13" s="96"/>
      <c r="M13" s="95"/>
      <c r="N13" s="6"/>
      <c r="O13" s="95"/>
      <c r="P13" s="95"/>
      <c r="Q13" s="6"/>
      <c r="R13" s="95"/>
      <c r="S13" s="95"/>
      <c r="T13" s="6"/>
      <c r="U13" s="95"/>
      <c r="V13" s="95"/>
      <c r="W13" s="95"/>
      <c r="X13" s="1"/>
      <c r="Y13" s="1"/>
      <c r="Z13" s="1"/>
      <c r="AA13" s="1"/>
      <c r="AB13" s="1"/>
      <c r="AC13" s="1"/>
      <c r="AD13" s="1"/>
      <c r="AE13" s="1"/>
      <c r="AF13" s="1"/>
      <c r="AG13" s="1"/>
      <c r="AH13" s="1"/>
      <c r="AI13" s="1"/>
      <c r="AJ13" s="1"/>
    </row>
    <row r="14" spans="3:36">
      <c r="C14" s="423" t="s">
        <v>618</v>
      </c>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row>
    <row r="15" spans="3:36" ht="32.25" customHeight="1">
      <c r="C15" s="422" t="s">
        <v>619</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row>
    <row r="16" spans="3:3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sheetData>
  <customSheetViews>
    <customSheetView guid="{F8FDF2EC-A9AD-41AC-8138-AA3657B53E6D}"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82BC0C9B-70E2-44EC-8408-64CC9B36E280}" showGridLines="0" state="hidden">
      <selection activeCell="G5" sqref="G5:L5"/>
      <pageMargins left="0" right="0" top="0" bottom="0" header="0" footer="0"/>
      <pageSetup orientation="portrait" r:id="rId3"/>
    </customSheetView>
  </customSheetViews>
  <mergeCells count="40">
    <mergeCell ref="AC5:AF5"/>
    <mergeCell ref="Y5:AB5"/>
    <mergeCell ref="M8:P8"/>
    <mergeCell ref="Q8:T8"/>
    <mergeCell ref="U8:X8"/>
    <mergeCell ref="Y8:AB8"/>
    <mergeCell ref="AC6:AF6"/>
    <mergeCell ref="G6:L6"/>
    <mergeCell ref="M6:P6"/>
    <mergeCell ref="Q6:T6"/>
    <mergeCell ref="U6:X6"/>
    <mergeCell ref="Y6:AB6"/>
    <mergeCell ref="C15:AJ15"/>
    <mergeCell ref="C14:AJ14"/>
    <mergeCell ref="G10:AF10"/>
    <mergeCell ref="G8:L8"/>
    <mergeCell ref="AC7:AF7"/>
    <mergeCell ref="G7:L7"/>
    <mergeCell ref="M7:P7"/>
    <mergeCell ref="Q7:T7"/>
    <mergeCell ref="U7:X7"/>
    <mergeCell ref="Y7:AB7"/>
    <mergeCell ref="AC8:AF8"/>
    <mergeCell ref="E3:E8"/>
    <mergeCell ref="G5:L5"/>
    <mergeCell ref="M5:P5"/>
    <mergeCell ref="Q5:T5"/>
    <mergeCell ref="U5:X5"/>
    <mergeCell ref="Y4:AB4"/>
    <mergeCell ref="AC4:AF4"/>
    <mergeCell ref="Y3:AB3"/>
    <mergeCell ref="AC3:AF3"/>
    <mergeCell ref="G3:L3"/>
    <mergeCell ref="M3:P3"/>
    <mergeCell ref="Q3:T3"/>
    <mergeCell ref="U3:X3"/>
    <mergeCell ref="G4:L4"/>
    <mergeCell ref="M4:P4"/>
    <mergeCell ref="Q4:T4"/>
    <mergeCell ref="U4:X4"/>
  </mergeCell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J20"/>
  <sheetViews>
    <sheetView showGridLines="0" workbookViewId="0">
      <selection activeCell="E4" sqref="E4:AF11"/>
    </sheetView>
  </sheetViews>
  <sheetFormatPr defaultColWidth="9.28515625" defaultRowHeight="15"/>
  <cols>
    <col min="1" max="5" width="3.7109375" customWidth="1"/>
    <col min="6" max="6" width="1.28515625" customWidth="1"/>
    <col min="7" max="36" width="3.7109375" customWidth="1"/>
  </cols>
  <sheetData>
    <row r="1" spans="3:36" ht="18" customHeight="1"/>
    <row r="4" spans="3:36" ht="51" customHeight="1">
      <c r="C4" s="1"/>
      <c r="D4" s="1"/>
      <c r="E4" s="425" t="s">
        <v>598</v>
      </c>
      <c r="F4" s="1"/>
      <c r="G4" s="427" t="s">
        <v>599</v>
      </c>
      <c r="H4" s="427"/>
      <c r="I4" s="427"/>
      <c r="J4" s="427"/>
      <c r="K4" s="427"/>
      <c r="L4" s="427"/>
      <c r="M4" s="429"/>
      <c r="N4" s="429"/>
      <c r="O4" s="429"/>
      <c r="P4" s="429"/>
      <c r="Q4" s="429"/>
      <c r="R4" s="429"/>
      <c r="S4" s="429"/>
      <c r="T4" s="429"/>
      <c r="U4" s="428"/>
      <c r="V4" s="428"/>
      <c r="W4" s="428"/>
      <c r="X4" s="428"/>
      <c r="Y4" s="428"/>
      <c r="Z4" s="428"/>
      <c r="AA4" s="428"/>
      <c r="AB4" s="428"/>
      <c r="AC4" s="428"/>
      <c r="AD4" s="428"/>
      <c r="AE4" s="428"/>
      <c r="AF4" s="428"/>
      <c r="AG4" s="1"/>
      <c r="AH4" s="1"/>
      <c r="AI4" s="1"/>
      <c r="AJ4" s="2"/>
    </row>
    <row r="5" spans="3:36" ht="51" customHeight="1">
      <c r="C5" s="1"/>
      <c r="D5" s="1"/>
      <c r="E5" s="425"/>
      <c r="F5" s="1"/>
      <c r="G5" s="427" t="s">
        <v>600</v>
      </c>
      <c r="H5" s="427"/>
      <c r="I5" s="427"/>
      <c r="J5" s="427"/>
      <c r="K5" s="427"/>
      <c r="L5" s="427"/>
      <c r="M5" s="430"/>
      <c r="N5" s="430"/>
      <c r="O5" s="430"/>
      <c r="P5" s="430"/>
      <c r="Q5" s="429"/>
      <c r="R5" s="429"/>
      <c r="S5" s="429"/>
      <c r="T5" s="429"/>
      <c r="U5" s="429"/>
      <c r="V5" s="429"/>
      <c r="W5" s="429"/>
      <c r="X5" s="429"/>
      <c r="Y5" s="428">
        <v>1</v>
      </c>
      <c r="Z5" s="428"/>
      <c r="AA5" s="428"/>
      <c r="AB5" s="428"/>
      <c r="AC5" s="428"/>
      <c r="AD5" s="428"/>
      <c r="AE5" s="428"/>
      <c r="AF5" s="428"/>
      <c r="AG5" s="1"/>
      <c r="AH5" s="1"/>
      <c r="AI5" s="1"/>
      <c r="AJ5" s="2"/>
    </row>
    <row r="6" spans="3:36" ht="51" customHeight="1">
      <c r="C6" s="1"/>
      <c r="D6" s="1"/>
      <c r="E6" s="425"/>
      <c r="F6" s="1"/>
      <c r="G6" s="427" t="s">
        <v>601</v>
      </c>
      <c r="H6" s="427"/>
      <c r="I6" s="427"/>
      <c r="J6" s="427"/>
      <c r="K6" s="427"/>
      <c r="L6" s="427"/>
      <c r="M6" s="431"/>
      <c r="N6" s="431"/>
      <c r="O6" s="431"/>
      <c r="P6" s="431"/>
      <c r="Q6" s="430"/>
      <c r="R6" s="430"/>
      <c r="S6" s="430"/>
      <c r="T6" s="430"/>
      <c r="U6" s="429"/>
      <c r="V6" s="429"/>
      <c r="W6" s="429"/>
      <c r="X6" s="429"/>
      <c r="Y6" s="428">
        <v>2</v>
      </c>
      <c r="Z6" s="428"/>
      <c r="AA6" s="428"/>
      <c r="AB6" s="428"/>
      <c r="AC6" s="428">
        <v>1</v>
      </c>
      <c r="AD6" s="428"/>
      <c r="AE6" s="428"/>
      <c r="AF6" s="428"/>
      <c r="AG6" s="1"/>
      <c r="AH6" s="1"/>
      <c r="AI6" s="1"/>
      <c r="AJ6" s="3"/>
    </row>
    <row r="7" spans="3:36" ht="51" customHeight="1">
      <c r="C7" s="1"/>
      <c r="D7" s="1"/>
      <c r="E7" s="425"/>
      <c r="F7" s="1"/>
      <c r="G7" s="427" t="s">
        <v>602</v>
      </c>
      <c r="H7" s="427"/>
      <c r="I7" s="427"/>
      <c r="J7" s="427"/>
      <c r="K7" s="427"/>
      <c r="L7" s="427"/>
      <c r="M7" s="431"/>
      <c r="N7" s="431"/>
      <c r="O7" s="431"/>
      <c r="P7" s="431"/>
      <c r="Q7" s="431"/>
      <c r="R7" s="431"/>
      <c r="S7" s="431"/>
      <c r="T7" s="431"/>
      <c r="U7" s="430"/>
      <c r="V7" s="430"/>
      <c r="W7" s="430"/>
      <c r="X7" s="430"/>
      <c r="Y7" s="429">
        <v>1</v>
      </c>
      <c r="Z7" s="429"/>
      <c r="AA7" s="429"/>
      <c r="AB7" s="429"/>
      <c r="AC7" s="428"/>
      <c r="AD7" s="428"/>
      <c r="AE7" s="428"/>
      <c r="AF7" s="428"/>
      <c r="AG7" s="1"/>
      <c r="AH7" s="1"/>
      <c r="AI7" s="1"/>
      <c r="AJ7" s="3" t="s">
        <v>385</v>
      </c>
    </row>
    <row r="8" spans="3:36" ht="51" customHeight="1">
      <c r="C8" s="1"/>
      <c r="D8" s="1"/>
      <c r="E8" s="425"/>
      <c r="F8" s="1"/>
      <c r="G8" s="427" t="s">
        <v>620</v>
      </c>
      <c r="H8" s="427"/>
      <c r="I8" s="427"/>
      <c r="J8" s="427"/>
      <c r="K8" s="427"/>
      <c r="L8" s="427"/>
      <c r="M8" s="431"/>
      <c r="N8" s="431"/>
      <c r="O8" s="431"/>
      <c r="P8" s="431"/>
      <c r="Q8" s="431"/>
      <c r="R8" s="431"/>
      <c r="S8" s="431"/>
      <c r="T8" s="431"/>
      <c r="U8" s="430"/>
      <c r="V8" s="430"/>
      <c r="W8" s="430"/>
      <c r="X8" s="430"/>
      <c r="Y8" s="429">
        <v>5</v>
      </c>
      <c r="Z8" s="429"/>
      <c r="AA8" s="429"/>
      <c r="AB8" s="429"/>
      <c r="AC8" s="428">
        <v>4</v>
      </c>
      <c r="AD8" s="428"/>
      <c r="AE8" s="428"/>
      <c r="AF8" s="428"/>
      <c r="AG8" s="1"/>
      <c r="AH8" s="1"/>
      <c r="AI8" s="1"/>
      <c r="AJ8" s="2"/>
    </row>
    <row r="9" spans="3:36" ht="45" customHeight="1">
      <c r="C9" s="1"/>
      <c r="D9" s="1"/>
      <c r="E9" s="425"/>
      <c r="F9" s="1"/>
      <c r="G9" s="426"/>
      <c r="H9" s="426"/>
      <c r="I9" s="426"/>
      <c r="J9" s="426"/>
      <c r="K9" s="426"/>
      <c r="L9" s="426"/>
      <c r="M9" s="427" t="s">
        <v>604</v>
      </c>
      <c r="N9" s="427"/>
      <c r="O9" s="427"/>
      <c r="P9" s="427"/>
      <c r="Q9" s="427" t="s">
        <v>605</v>
      </c>
      <c r="R9" s="427"/>
      <c r="S9" s="427"/>
      <c r="T9" s="427"/>
      <c r="U9" s="427" t="s">
        <v>606</v>
      </c>
      <c r="V9" s="427"/>
      <c r="W9" s="427"/>
      <c r="X9" s="427"/>
      <c r="Y9" s="427" t="s">
        <v>607</v>
      </c>
      <c r="Z9" s="427"/>
      <c r="AA9" s="427"/>
      <c r="AB9" s="427"/>
      <c r="AC9" s="427" t="s">
        <v>608</v>
      </c>
      <c r="AD9" s="427"/>
      <c r="AE9" s="427"/>
      <c r="AF9" s="427"/>
      <c r="AG9" s="1"/>
      <c r="AH9" s="1"/>
      <c r="AI9" s="1"/>
      <c r="AJ9" s="3" t="s">
        <v>609</v>
      </c>
    </row>
    <row r="10" spans="3:36" ht="11.25" customHeight="1">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c r="C11" s="1"/>
      <c r="D11" s="1"/>
      <c r="E11" s="1"/>
      <c r="F11" s="1"/>
      <c r="G11" s="424" t="s">
        <v>425</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1"/>
      <c r="AH11" s="1"/>
      <c r="AI11" s="1"/>
      <c r="AJ11" s="2"/>
    </row>
    <row r="12" spans="3:36">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c r="C13" s="1"/>
      <c r="D13" s="1"/>
      <c r="E13" s="1"/>
      <c r="F13" s="1"/>
      <c r="G13" s="1"/>
      <c r="H13" s="1"/>
      <c r="I13" s="87"/>
      <c r="J13" s="1"/>
      <c r="K13" s="1"/>
      <c r="L13" s="1"/>
      <c r="M13" s="88" t="s">
        <v>610</v>
      </c>
      <c r="N13" s="89" t="s">
        <v>611</v>
      </c>
      <c r="O13" s="90"/>
      <c r="P13" s="8"/>
      <c r="Q13" s="91" t="s">
        <v>612</v>
      </c>
      <c r="R13" s="89" t="s">
        <v>613</v>
      </c>
      <c r="S13" s="90"/>
      <c r="T13" s="8"/>
      <c r="U13" s="92" t="s">
        <v>614</v>
      </c>
      <c r="V13" s="89" t="s">
        <v>615</v>
      </c>
      <c r="W13" s="93"/>
      <c r="X13" s="8"/>
      <c r="Y13" s="94" t="s">
        <v>616</v>
      </c>
      <c r="Z13" s="89" t="s">
        <v>617</v>
      </c>
      <c r="AA13" s="8"/>
      <c r="AB13" s="1"/>
      <c r="AC13" s="1"/>
      <c r="AD13" s="1"/>
      <c r="AE13" s="1"/>
      <c r="AF13" s="1"/>
      <c r="AG13" s="1"/>
      <c r="AH13" s="1"/>
      <c r="AI13" s="1"/>
      <c r="AJ13" s="1"/>
    </row>
    <row r="14" spans="3:36">
      <c r="C14" s="1"/>
      <c r="D14" s="1"/>
      <c r="E14" s="1"/>
      <c r="F14" s="1"/>
      <c r="G14" s="1"/>
      <c r="H14" s="1"/>
      <c r="I14" s="95"/>
      <c r="J14" s="6"/>
      <c r="K14" s="5"/>
      <c r="L14" s="96"/>
      <c r="M14" s="95"/>
      <c r="N14" s="6"/>
      <c r="O14" s="95"/>
      <c r="P14" s="95"/>
      <c r="Q14" s="6"/>
      <c r="R14" s="95"/>
      <c r="S14" s="95"/>
      <c r="T14" s="6"/>
      <c r="U14" s="95"/>
      <c r="V14" s="95"/>
      <c r="W14" s="95"/>
      <c r="X14" s="1"/>
      <c r="Y14" s="1"/>
      <c r="Z14" s="1"/>
      <c r="AA14" s="1"/>
      <c r="AB14" s="1"/>
      <c r="AC14" s="1"/>
      <c r="AD14" s="1"/>
      <c r="AE14" s="1"/>
      <c r="AF14" s="1"/>
      <c r="AG14" s="1"/>
      <c r="AH14" s="1"/>
      <c r="AI14" s="1"/>
      <c r="AJ14" s="1"/>
    </row>
    <row r="15" spans="3:36">
      <c r="C15" s="423" t="s">
        <v>618</v>
      </c>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row>
    <row r="16" spans="3:36">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c r="C17" s="1"/>
      <c r="D17" s="1"/>
      <c r="E17" s="1"/>
      <c r="F17" s="1"/>
      <c r="G17" s="1"/>
      <c r="H17" s="1"/>
      <c r="I17" s="95"/>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c r="C18" s="422" t="s">
        <v>619</v>
      </c>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row>
    <row r="19" spans="3:36">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AC4:AF4"/>
    <mergeCell ref="G5:L5"/>
    <mergeCell ref="M5:P5"/>
    <mergeCell ref="Q5:T5"/>
    <mergeCell ref="U5:X5"/>
    <mergeCell ref="Y5:AB5"/>
    <mergeCell ref="AC5:AF5"/>
    <mergeCell ref="G4:L4"/>
    <mergeCell ref="M4:P4"/>
    <mergeCell ref="Q4:T4"/>
    <mergeCell ref="U4:X4"/>
    <mergeCell ref="Y4:AB4"/>
    <mergeCell ref="Y8:AB8"/>
    <mergeCell ref="G11:AF11"/>
    <mergeCell ref="G6:L6"/>
    <mergeCell ref="M6:P6"/>
    <mergeCell ref="Q6:T6"/>
    <mergeCell ref="U6:X6"/>
    <mergeCell ref="G8:L8"/>
    <mergeCell ref="M8:P8"/>
    <mergeCell ref="Q8:T8"/>
    <mergeCell ref="M7:P7"/>
    <mergeCell ref="Q7:T7"/>
    <mergeCell ref="U7:X7"/>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2TV4CCKVFCYA-2105455012-970</_dlc_DocId>
    <_dlc_DocIdUrl xmlns="81cc8fc0-8d1e-4295-8f37-5d076116407c">
      <Url>https://www.minjusticia.gov.co/transparencia/_layouts/15/DocIdRedir.aspx?ID=2TV4CCKVFCYA-2105455012-970</Url>
      <Description>2TV4CCKVFCYA-2105455012-970</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7C039C-E796-435E-B1E0-B1A5579BB542}"/>
</file>

<file path=customXml/itemProps2.xml><?xml version="1.0" encoding="utf-8"?>
<ds:datastoreItem xmlns:ds="http://schemas.openxmlformats.org/officeDocument/2006/customXml" ds:itemID="{069DDE2A-76AE-46EC-806D-A0CDC8481CC1}"/>
</file>

<file path=customXml/itemProps3.xml><?xml version="1.0" encoding="utf-8"?>
<ds:datastoreItem xmlns:ds="http://schemas.openxmlformats.org/officeDocument/2006/customXml" ds:itemID="{181A7456-32F0-4857-AC4B-929E42F9FF2A}"/>
</file>

<file path=customXml/itemProps4.xml><?xml version="1.0" encoding="utf-8"?>
<ds:datastoreItem xmlns:ds="http://schemas.openxmlformats.org/officeDocument/2006/customXml" ds:itemID="{482869FB-31B7-4FEC-9920-1ECC3D0AAB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 Mapa de Riesgos de Corrupción Ministerio de Justicia y del Derecho</dc:title>
  <dc:subject/>
  <dc:creator>jose leonardo carrillo cortes</dc:creator>
  <cp:keywords/>
  <dc:description/>
  <cp:lastModifiedBy/>
  <cp:revision/>
  <dcterms:created xsi:type="dcterms:W3CDTF">2014-12-15T18:53:48Z</dcterms:created>
  <dcterms:modified xsi:type="dcterms:W3CDTF">2025-01-29T16:58:31Z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87e6761b-06d2-4153-95ff-3f9035dd470e</vt:lpwstr>
  </property>
</Properties>
</file>